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1'!$A$1:$AD$165</definedName>
    <definedName name="_xlnm.Print_Area" localSheetId="1">'Historical CF - Exhibit 1B'!$A$1:$I$58</definedName>
  </definedNames>
  <calcPr calcId="152511"/>
</workbook>
</file>

<file path=xl/calcChain.xml><?xml version="1.0" encoding="utf-8"?>
<calcChain xmlns="http://schemas.openxmlformats.org/spreadsheetml/2006/main">
  <c r="K118" i="5" l="1"/>
  <c r="AB126" i="5"/>
  <c r="AA126" i="5"/>
  <c r="AA123" i="5"/>
  <c r="Z126" i="5"/>
  <c r="Z123" i="5"/>
  <c r="Y126" i="5"/>
  <c r="Y123" i="5"/>
  <c r="H21" i="6"/>
  <c r="G34" i="6"/>
  <c r="G21" i="6"/>
  <c r="G18" i="6"/>
  <c r="F34" i="6"/>
  <c r="F21" i="6"/>
  <c r="F18" i="6"/>
  <c r="E34" i="6"/>
  <c r="E21" i="6"/>
  <c r="E18" i="6"/>
  <c r="D34" i="6"/>
  <c r="D21" i="6"/>
  <c r="D18" i="6"/>
  <c r="H20" i="5" l="1"/>
  <c r="G20" i="5"/>
  <c r="F51" i="5"/>
  <c r="F20" i="5"/>
  <c r="E20" i="5"/>
  <c r="A7" i="6"/>
  <c r="B9" i="5" l="1"/>
  <c r="AD1" i="5"/>
  <c r="J71" i="5"/>
  <c r="AD71" i="5" s="1"/>
  <c r="A3" i="6"/>
  <c r="I1" i="6"/>
  <c r="J113" i="5" l="1"/>
  <c r="AD113" i="5" s="1"/>
  <c r="AD158" i="5" l="1"/>
  <c r="AD157" i="5"/>
  <c r="AD154" i="5"/>
  <c r="AD155" i="5"/>
  <c r="AD143" i="5"/>
  <c r="AD142" i="5"/>
  <c r="I46" i="6"/>
  <c r="I44" i="6"/>
  <c r="I33" i="6"/>
  <c r="I28" i="6"/>
  <c r="I25" i="6"/>
  <c r="I23" i="6"/>
  <c r="I20" i="6"/>
  <c r="I16" i="6"/>
  <c r="I15" i="6"/>
  <c r="I14" i="6"/>
  <c r="I34" i="6"/>
  <c r="I18" i="6"/>
  <c r="I21" i="6"/>
  <c r="AB166" i="5" l="1"/>
  <c r="AB165" i="5"/>
  <c r="AB145" i="5"/>
  <c r="AB151" i="5" s="1"/>
  <c r="J110" i="5"/>
  <c r="J106" i="5"/>
  <c r="J101" i="5"/>
  <c r="J100" i="5"/>
  <c r="J99" i="5"/>
  <c r="J98" i="5"/>
  <c r="J94" i="5"/>
  <c r="J92" i="5"/>
  <c r="J90" i="5"/>
  <c r="J89" i="5"/>
  <c r="J88" i="5"/>
  <c r="J83" i="5"/>
  <c r="J82" i="5"/>
  <c r="J66" i="5"/>
  <c r="J65" i="5"/>
  <c r="J64" i="5"/>
  <c r="J56" i="5"/>
  <c r="J55" i="5"/>
  <c r="J54" i="5"/>
  <c r="J51" i="5"/>
  <c r="J49" i="5"/>
  <c r="J47" i="5"/>
  <c r="J46" i="5"/>
  <c r="J38" i="5"/>
  <c r="J37" i="5"/>
  <c r="J36" i="5"/>
  <c r="J31" i="5"/>
  <c r="J28" i="5"/>
  <c r="J27" i="5"/>
  <c r="J26" i="5"/>
  <c r="J25" i="5"/>
  <c r="J24" i="5"/>
  <c r="J20" i="5"/>
  <c r="J16" i="5"/>
  <c r="J15" i="5"/>
  <c r="J14" i="5"/>
  <c r="J13" i="5"/>
  <c r="J12" i="5"/>
  <c r="K19" i="5"/>
  <c r="G49" i="6"/>
  <c r="G38" i="6"/>
  <c r="AB148" i="5" l="1"/>
  <c r="AB149" i="5"/>
  <c r="AB162" i="5" s="1"/>
  <c r="AB127" i="5"/>
  <c r="H68" i="5"/>
  <c r="H57" i="5"/>
  <c r="H52" i="5"/>
  <c r="H39" i="5"/>
  <c r="H29" i="5"/>
  <c r="H21" i="5"/>
  <c r="H102" i="5"/>
  <c r="H95" i="5"/>
  <c r="H85" i="5"/>
  <c r="H154" i="5"/>
  <c r="AB102" i="5" l="1"/>
  <c r="H122" i="5"/>
  <c r="H140" i="5"/>
  <c r="AB99" i="5"/>
  <c r="AB94" i="5"/>
  <c r="AB88" i="5"/>
  <c r="AB98" i="5"/>
  <c r="AB92" i="5"/>
  <c r="AB85" i="5"/>
  <c r="AB101" i="5"/>
  <c r="AB90" i="5"/>
  <c r="AB83" i="5"/>
  <c r="AB161" i="5" s="1"/>
  <c r="AB163" i="5" s="1"/>
  <c r="AB106" i="5"/>
  <c r="AB100" i="5"/>
  <c r="AB89" i="5"/>
  <c r="AB82" i="5"/>
  <c r="H127" i="5"/>
  <c r="AB95" i="5"/>
  <c r="H33" i="5"/>
  <c r="H128" i="5" s="1"/>
  <c r="H163" i="5"/>
  <c r="AB167" i="5"/>
  <c r="AB136" i="5"/>
  <c r="AB132" i="5"/>
  <c r="AB131" i="5"/>
  <c r="AB134" i="5"/>
  <c r="AB133" i="5"/>
  <c r="AB130" i="5"/>
  <c r="AB135" i="5"/>
  <c r="H96" i="5"/>
  <c r="H158" i="5"/>
  <c r="H151" i="5"/>
  <c r="H162" i="5"/>
  <c r="H59" i="5"/>
  <c r="H157" i="5"/>
  <c r="H159" i="5" s="1"/>
  <c r="H164" i="5"/>
  <c r="H121" i="5"/>
  <c r="H141" i="5"/>
  <c r="H132" i="5"/>
  <c r="H40" i="5" l="1"/>
  <c r="H41" i="5"/>
  <c r="AB57" i="5" s="1"/>
  <c r="H126" i="5"/>
  <c r="H104" i="5"/>
  <c r="AB104" i="5" s="1"/>
  <c r="AB96" i="5"/>
  <c r="H165" i="5"/>
  <c r="H69" i="5"/>
  <c r="H49" i="6"/>
  <c r="H38" i="6"/>
  <c r="H7" i="6"/>
  <c r="H129" i="5" l="1"/>
  <c r="AB59" i="5"/>
  <c r="AB27" i="5"/>
  <c r="AB21" i="5"/>
  <c r="AB16" i="5"/>
  <c r="AB14" i="5"/>
  <c r="AB55" i="5"/>
  <c r="AB38" i="5"/>
  <c r="AB37" i="5"/>
  <c r="AB33" i="5"/>
  <c r="AB20" i="5"/>
  <c r="AB46" i="5"/>
  <c r="AB47" i="5"/>
  <c r="AB24" i="5"/>
  <c r="AB64" i="5"/>
  <c r="AB41" i="5"/>
  <c r="AB39" i="5"/>
  <c r="AB52" i="5"/>
  <c r="AB26" i="5"/>
  <c r="AB66" i="5"/>
  <c r="AB54" i="5"/>
  <c r="AB28" i="5"/>
  <c r="AB13" i="5"/>
  <c r="AB56" i="5"/>
  <c r="AB68" i="5"/>
  <c r="AB29" i="5"/>
  <c r="AB31" i="5"/>
  <c r="AB15" i="5"/>
  <c r="AB12" i="5"/>
  <c r="AB36" i="5"/>
  <c r="AB25" i="5"/>
  <c r="AB65" i="5"/>
  <c r="AB49" i="5"/>
  <c r="AB17" i="5"/>
  <c r="AB51" i="5"/>
  <c r="AB40" i="5"/>
  <c r="H150" i="5"/>
  <c r="H42" i="5"/>
  <c r="AB69" i="5"/>
  <c r="H107" i="5"/>
  <c r="H153" i="5" s="1"/>
  <c r="AD125" i="5"/>
  <c r="AD124" i="5"/>
  <c r="AD122" i="5"/>
  <c r="AD121" i="5"/>
  <c r="G154" i="5"/>
  <c r="K48" i="5"/>
  <c r="K50" i="5"/>
  <c r="AC166" i="5"/>
  <c r="AC165" i="5"/>
  <c r="AC145" i="5"/>
  <c r="AC151" i="5" s="1"/>
  <c r="AC127" i="5"/>
  <c r="AC136" i="5" s="1"/>
  <c r="AC8" i="5"/>
  <c r="AC78" i="5" s="1"/>
  <c r="AC117" i="5" s="1"/>
  <c r="I154" i="5"/>
  <c r="I102" i="5"/>
  <c r="I95" i="5"/>
  <c r="I85" i="5"/>
  <c r="I78" i="5"/>
  <c r="I117" i="5" s="1"/>
  <c r="I68" i="5"/>
  <c r="I57" i="5"/>
  <c r="I52" i="5"/>
  <c r="I39" i="5"/>
  <c r="I29" i="5"/>
  <c r="I33" i="5" s="1"/>
  <c r="I21" i="5"/>
  <c r="G12" i="6" l="1"/>
  <c r="G30" i="6" s="1"/>
  <c r="G51" i="6" s="1"/>
  <c r="AB110" i="5"/>
  <c r="AB107" i="5"/>
  <c r="H133" i="5"/>
  <c r="I158" i="5"/>
  <c r="I157" i="5"/>
  <c r="I159" i="5" s="1"/>
  <c r="I96" i="5"/>
  <c r="I104" i="5" s="1"/>
  <c r="I107" i="5" s="1"/>
  <c r="AC148" i="5"/>
  <c r="AC130" i="5"/>
  <c r="AC135" i="5"/>
  <c r="AC132" i="5"/>
  <c r="AC134" i="5"/>
  <c r="AC85" i="5"/>
  <c r="AC92" i="5"/>
  <c r="AC98" i="5"/>
  <c r="AC102" i="5"/>
  <c r="I140" i="5"/>
  <c r="AC88" i="5"/>
  <c r="AC94" i="5"/>
  <c r="AC99" i="5"/>
  <c r="I141" i="5"/>
  <c r="AC82" i="5"/>
  <c r="AC89" i="5"/>
  <c r="AC95" i="5"/>
  <c r="AC100" i="5"/>
  <c r="AC106" i="5"/>
  <c r="I132" i="5"/>
  <c r="AC83" i="5"/>
  <c r="AC161" i="5" s="1"/>
  <c r="AC90" i="5"/>
  <c r="AC101" i="5"/>
  <c r="I162" i="5"/>
  <c r="I127" i="5"/>
  <c r="I163" i="5"/>
  <c r="I151" i="5"/>
  <c r="I164" i="5"/>
  <c r="I122" i="5"/>
  <c r="I59" i="5"/>
  <c r="I41" i="5"/>
  <c r="AC37" i="5" s="1"/>
  <c r="I40" i="5"/>
  <c r="I128" i="5"/>
  <c r="I121" i="5"/>
  <c r="AC133" i="5"/>
  <c r="AC167" i="5"/>
  <c r="AC131" i="5"/>
  <c r="AC149" i="5"/>
  <c r="AC162" i="5" s="1"/>
  <c r="D167" i="5"/>
  <c r="AA127" i="5"/>
  <c r="F38" i="6"/>
  <c r="E38" i="6"/>
  <c r="Z127" i="5"/>
  <c r="Z135" i="5" s="1"/>
  <c r="F49" i="6"/>
  <c r="F154" i="5"/>
  <c r="E154" i="5"/>
  <c r="D154" i="5"/>
  <c r="C154" i="5"/>
  <c r="AA166" i="5"/>
  <c r="AA165" i="5"/>
  <c r="AA145" i="5"/>
  <c r="G102" i="5"/>
  <c r="G95" i="5"/>
  <c r="G85" i="5"/>
  <c r="G68" i="5"/>
  <c r="G164" i="5" s="1"/>
  <c r="G57" i="5"/>
  <c r="G52" i="5"/>
  <c r="G122" i="5" s="1"/>
  <c r="G39" i="5"/>
  <c r="G29" i="5"/>
  <c r="G33" i="5" s="1"/>
  <c r="G21" i="5"/>
  <c r="E49" i="6"/>
  <c r="T166" i="5"/>
  <c r="U166" i="5"/>
  <c r="V166" i="5"/>
  <c r="W166" i="5"/>
  <c r="X166" i="5"/>
  <c r="Y166" i="5"/>
  <c r="Z166" i="5"/>
  <c r="Z165" i="5"/>
  <c r="F102" i="5"/>
  <c r="F95" i="5"/>
  <c r="F85" i="5"/>
  <c r="F68" i="5"/>
  <c r="F164" i="5" s="1"/>
  <c r="F57" i="5"/>
  <c r="F39" i="5"/>
  <c r="F29" i="5"/>
  <c r="F33" i="5" s="1"/>
  <c r="F21" i="5"/>
  <c r="Z145" i="5"/>
  <c r="Z149" i="5" s="1"/>
  <c r="Z162" i="5" s="1"/>
  <c r="F9" i="5"/>
  <c r="E8" i="6" s="1"/>
  <c r="Y165" i="5"/>
  <c r="K91" i="5"/>
  <c r="X165" i="5"/>
  <c r="W165" i="5"/>
  <c r="V165" i="5"/>
  <c r="U165" i="5"/>
  <c r="T165" i="5"/>
  <c r="S165" i="5"/>
  <c r="E68" i="5"/>
  <c r="H135" i="5" l="1"/>
  <c r="AD165" i="5"/>
  <c r="AC96" i="5"/>
  <c r="J154" i="5"/>
  <c r="AD166" i="5"/>
  <c r="AC163" i="5"/>
  <c r="H136" i="5"/>
  <c r="I143" i="5"/>
  <c r="H143" i="5"/>
  <c r="Z94" i="5"/>
  <c r="H123" i="5"/>
  <c r="I123" i="5"/>
  <c r="AC28" i="5"/>
  <c r="AC107" i="5"/>
  <c r="H12" i="6"/>
  <c r="H30" i="6" s="1"/>
  <c r="H152" i="5" s="1"/>
  <c r="AD126" i="5"/>
  <c r="AC16" i="5"/>
  <c r="AC52" i="5"/>
  <c r="AC51" i="5"/>
  <c r="AC64" i="5"/>
  <c r="AC47" i="5"/>
  <c r="AC20" i="5"/>
  <c r="AD123" i="5"/>
  <c r="AC55" i="5"/>
  <c r="AC33" i="5"/>
  <c r="AC14" i="5"/>
  <c r="AC40" i="5"/>
  <c r="AC12" i="5"/>
  <c r="AC21" i="5"/>
  <c r="AC46" i="5"/>
  <c r="AC29" i="5"/>
  <c r="AC41" i="5"/>
  <c r="AC36" i="5"/>
  <c r="AC54" i="5"/>
  <c r="AC38" i="5"/>
  <c r="AC13" i="5"/>
  <c r="AC59" i="5"/>
  <c r="AC27" i="5"/>
  <c r="AC66" i="5"/>
  <c r="AC26" i="5"/>
  <c r="AC17" i="5"/>
  <c r="I136" i="5"/>
  <c r="AC104" i="5"/>
  <c r="I153" i="5"/>
  <c r="I135" i="5"/>
  <c r="I150" i="5"/>
  <c r="AC110" i="5"/>
  <c r="I129" i="5"/>
  <c r="I133" i="5"/>
  <c r="I165" i="5"/>
  <c r="I69" i="5"/>
  <c r="AC69" i="5" s="1"/>
  <c r="I126" i="5"/>
  <c r="AC49" i="5"/>
  <c r="AC24" i="5"/>
  <c r="AC68" i="5"/>
  <c r="AC39" i="5"/>
  <c r="AC15" i="5"/>
  <c r="AC57" i="5"/>
  <c r="AC31" i="5"/>
  <c r="AC56" i="5"/>
  <c r="AC25" i="5"/>
  <c r="AC65" i="5"/>
  <c r="F52" i="5"/>
  <c r="H142" i="5" s="1"/>
  <c r="G9" i="5"/>
  <c r="H9" i="5" s="1"/>
  <c r="G127" i="5"/>
  <c r="F128" i="5"/>
  <c r="F140" i="5"/>
  <c r="F141" i="5"/>
  <c r="Z167" i="5"/>
  <c r="G96" i="5"/>
  <c r="G104" i="5" s="1"/>
  <c r="G107" i="5" s="1"/>
  <c r="G141" i="5"/>
  <c r="AA83" i="5"/>
  <c r="AA161" i="5" s="1"/>
  <c r="AA88" i="5"/>
  <c r="AA90" i="5"/>
  <c r="AA95" i="5"/>
  <c r="AA98" i="5"/>
  <c r="AA100" i="5"/>
  <c r="AA102" i="5"/>
  <c r="AA106" i="5"/>
  <c r="AA167" i="5"/>
  <c r="G132" i="5"/>
  <c r="G140" i="5"/>
  <c r="AA82" i="5"/>
  <c r="AA85" i="5"/>
  <c r="AA89" i="5"/>
  <c r="AA92" i="5"/>
  <c r="AA94" i="5"/>
  <c r="AA99" i="5"/>
  <c r="AA101" i="5"/>
  <c r="G158" i="5"/>
  <c r="G163" i="5"/>
  <c r="G151" i="5"/>
  <c r="G157" i="5"/>
  <c r="G162" i="5"/>
  <c r="G59" i="5"/>
  <c r="G126" i="5" s="1"/>
  <c r="G40" i="5"/>
  <c r="G41" i="5"/>
  <c r="G128" i="5"/>
  <c r="G121" i="5"/>
  <c r="AA135" i="5"/>
  <c r="AA133" i="5"/>
  <c r="AA131" i="5"/>
  <c r="AA136" i="5"/>
  <c r="AA134" i="5"/>
  <c r="AA130" i="5"/>
  <c r="AA132" i="5"/>
  <c r="AA148" i="5"/>
  <c r="AA151" i="5"/>
  <c r="AA149" i="5"/>
  <c r="AA162" i="5" s="1"/>
  <c r="Z9" i="5"/>
  <c r="F79" i="5"/>
  <c r="Z93" i="5"/>
  <c r="Z148" i="5"/>
  <c r="Z151" i="5"/>
  <c r="F151" i="5"/>
  <c r="F158" i="5"/>
  <c r="F163" i="5"/>
  <c r="F127" i="5"/>
  <c r="F157" i="5"/>
  <c r="F162" i="5"/>
  <c r="F96" i="5"/>
  <c r="Z88" i="5"/>
  <c r="Z100" i="5"/>
  <c r="Z83" i="5"/>
  <c r="Z161" i="5" s="1"/>
  <c r="Z163" i="5" s="1"/>
  <c r="Z90" i="5"/>
  <c r="Z98" i="5"/>
  <c r="Z102" i="5"/>
  <c r="Z82" i="5"/>
  <c r="Z85" i="5"/>
  <c r="Z89" i="5"/>
  <c r="Z92" i="5"/>
  <c r="Z95" i="5"/>
  <c r="Z99" i="5"/>
  <c r="Z101" i="5"/>
  <c r="Z106" i="5"/>
  <c r="F132" i="5"/>
  <c r="F41" i="5"/>
  <c r="F40" i="5"/>
  <c r="Z136" i="5"/>
  <c r="Z134" i="5"/>
  <c r="Z132" i="5"/>
  <c r="Z130" i="5"/>
  <c r="Z133" i="5"/>
  <c r="Z131" i="5"/>
  <c r="C49" i="6"/>
  <c r="C38" i="6"/>
  <c r="C8" i="6"/>
  <c r="X145" i="5"/>
  <c r="X127" i="5"/>
  <c r="X135" i="5" s="1"/>
  <c r="D102" i="5"/>
  <c r="D95" i="5"/>
  <c r="D85" i="5"/>
  <c r="D68" i="5"/>
  <c r="D163" i="5" s="1"/>
  <c r="D57" i="5"/>
  <c r="D52" i="5"/>
  <c r="D39" i="5"/>
  <c r="D29" i="5"/>
  <c r="D33" i="5" s="1"/>
  <c r="D21" i="5"/>
  <c r="X9" i="5"/>
  <c r="D79" i="5"/>
  <c r="X79" i="5" s="1"/>
  <c r="D8" i="6"/>
  <c r="AA163" i="5" l="1"/>
  <c r="H79" i="5"/>
  <c r="AB9" i="5"/>
  <c r="G8" i="6"/>
  <c r="I9" i="5"/>
  <c r="AC9" i="5" s="1"/>
  <c r="I144" i="5"/>
  <c r="H144" i="5"/>
  <c r="AA29" i="5"/>
  <c r="H134" i="5"/>
  <c r="I134" i="5"/>
  <c r="I152" i="5"/>
  <c r="H51" i="6"/>
  <c r="G134" i="5"/>
  <c r="G153" i="5"/>
  <c r="G136" i="5"/>
  <c r="G135" i="5"/>
  <c r="H8" i="6"/>
  <c r="F122" i="5"/>
  <c r="I142" i="5"/>
  <c r="F121" i="5"/>
  <c r="I42" i="5"/>
  <c r="AA110" i="5"/>
  <c r="G69" i="5"/>
  <c r="AA69" i="5" s="1"/>
  <c r="AA12" i="5"/>
  <c r="AA47" i="5"/>
  <c r="AA41" i="5"/>
  <c r="AA66" i="5"/>
  <c r="AA36" i="5"/>
  <c r="AA28" i="5"/>
  <c r="AA25" i="5"/>
  <c r="G42" i="5"/>
  <c r="AA57" i="5"/>
  <c r="AA68" i="5"/>
  <c r="AA17" i="5"/>
  <c r="AA52" i="5"/>
  <c r="AA24" i="5"/>
  <c r="AA59" i="5"/>
  <c r="AA37" i="5"/>
  <c r="AA13" i="5"/>
  <c r="AA40" i="5"/>
  <c r="F59" i="5"/>
  <c r="F126" i="5" s="1"/>
  <c r="AA46" i="5"/>
  <c r="AA16" i="5"/>
  <c r="AA54" i="5"/>
  <c r="D141" i="5"/>
  <c r="D140" i="5"/>
  <c r="G79" i="5"/>
  <c r="F8" i="6"/>
  <c r="AA9" i="5"/>
  <c r="X149" i="5"/>
  <c r="X167" i="5"/>
  <c r="AA96" i="5"/>
  <c r="G150" i="5"/>
  <c r="G165" i="5"/>
  <c r="G159" i="5"/>
  <c r="G133" i="5"/>
  <c r="AA104" i="5"/>
  <c r="G129" i="5"/>
  <c r="AA107" i="5"/>
  <c r="F12" i="6"/>
  <c r="F30" i="6" s="1"/>
  <c r="Z21" i="5"/>
  <c r="F104" i="5"/>
  <c r="F150" i="5" s="1"/>
  <c r="AA64" i="5"/>
  <c r="AA55" i="5"/>
  <c r="AA49" i="5"/>
  <c r="AA38" i="5"/>
  <c r="AA31" i="5"/>
  <c r="AA26" i="5"/>
  <c r="AA20" i="5"/>
  <c r="AA14" i="5"/>
  <c r="AA65" i="5"/>
  <c r="AA56" i="5"/>
  <c r="AA51" i="5"/>
  <c r="AA39" i="5"/>
  <c r="AA33" i="5"/>
  <c r="AA27" i="5"/>
  <c r="AA21" i="5"/>
  <c r="AA15" i="5"/>
  <c r="D118" i="5"/>
  <c r="X118" i="5" s="1"/>
  <c r="Z79" i="5"/>
  <c r="F118" i="5"/>
  <c r="Z118" i="5" s="1"/>
  <c r="Z96" i="5"/>
  <c r="F165" i="5"/>
  <c r="F159" i="5"/>
  <c r="Z33" i="5"/>
  <c r="Z40" i="5"/>
  <c r="Z68" i="5"/>
  <c r="Z65" i="5"/>
  <c r="Z56" i="5"/>
  <c r="Z54" i="5"/>
  <c r="Z51" i="5"/>
  <c r="Z47" i="5"/>
  <c r="Z41" i="5"/>
  <c r="Z39" i="5"/>
  <c r="Z37" i="5"/>
  <c r="Z29" i="5"/>
  <c r="Z27" i="5"/>
  <c r="Z25" i="5"/>
  <c r="Z17" i="5"/>
  <c r="Z15" i="5"/>
  <c r="Z13" i="5"/>
  <c r="Z66" i="5"/>
  <c r="Z64" i="5"/>
  <c r="Z57" i="5"/>
  <c r="Z55" i="5"/>
  <c r="Z52" i="5"/>
  <c r="Z49" i="5"/>
  <c r="Z46" i="5"/>
  <c r="Z38" i="5"/>
  <c r="Z36" i="5"/>
  <c r="Z31" i="5"/>
  <c r="Z28" i="5"/>
  <c r="Z26" i="5"/>
  <c r="Z24" i="5"/>
  <c r="Z20" i="5"/>
  <c r="Z16" i="5"/>
  <c r="Z14" i="5"/>
  <c r="Z12" i="5"/>
  <c r="D40" i="5"/>
  <c r="X132" i="5"/>
  <c r="D127" i="5"/>
  <c r="D157" i="5"/>
  <c r="D162" i="5"/>
  <c r="D164" i="5"/>
  <c r="D151" i="5"/>
  <c r="D158" i="5"/>
  <c r="D59" i="5"/>
  <c r="D126" i="5" s="1"/>
  <c r="D122" i="5"/>
  <c r="D41" i="5"/>
  <c r="D128" i="5"/>
  <c r="D121" i="5"/>
  <c r="D96" i="5"/>
  <c r="D104" i="5" s="1"/>
  <c r="D107" i="5" s="1"/>
  <c r="X82" i="5"/>
  <c r="X88" i="5"/>
  <c r="X90" i="5"/>
  <c r="X95" i="5"/>
  <c r="X98" i="5"/>
  <c r="X100" i="5"/>
  <c r="X102" i="5"/>
  <c r="X106" i="5"/>
  <c r="D132" i="5"/>
  <c r="X83" i="5"/>
  <c r="X161" i="5" s="1"/>
  <c r="X85" i="5"/>
  <c r="X89" i="5"/>
  <c r="X92" i="5"/>
  <c r="X94" i="5"/>
  <c r="X99" i="5"/>
  <c r="X101" i="5"/>
  <c r="X130" i="5"/>
  <c r="X134" i="5"/>
  <c r="X136" i="5"/>
  <c r="X148" i="5"/>
  <c r="X151" i="5"/>
  <c r="X131" i="5"/>
  <c r="X133" i="5"/>
  <c r="Y145" i="5"/>
  <c r="AD145" i="5" s="1"/>
  <c r="Y127" i="5"/>
  <c r="Y134" i="5" s="1"/>
  <c r="Y9" i="5"/>
  <c r="E102" i="5"/>
  <c r="E95" i="5"/>
  <c r="E85" i="5"/>
  <c r="E79" i="5"/>
  <c r="Y79" i="5" s="1"/>
  <c r="E164" i="5"/>
  <c r="E57" i="5"/>
  <c r="E52" i="5"/>
  <c r="E122" i="5" s="1"/>
  <c r="E39" i="5"/>
  <c r="E29" i="5"/>
  <c r="E33" i="5" s="1"/>
  <c r="E21" i="5"/>
  <c r="J122" i="5" l="1"/>
  <c r="I79" i="5"/>
  <c r="H118" i="5"/>
  <c r="AB118" i="5" s="1"/>
  <c r="AB79" i="5"/>
  <c r="X163" i="5"/>
  <c r="Z104" i="5"/>
  <c r="AD149" i="5"/>
  <c r="X162" i="5"/>
  <c r="D159" i="5"/>
  <c r="D165" i="5"/>
  <c r="J164" i="5"/>
  <c r="F51" i="6"/>
  <c r="G152" i="5"/>
  <c r="AC79" i="5"/>
  <c r="I118" i="5"/>
  <c r="AC118" i="5" s="1"/>
  <c r="Z59" i="5"/>
  <c r="F69" i="5"/>
  <c r="Z69" i="5" s="1"/>
  <c r="Y167" i="5"/>
  <c r="AD167" i="5" s="1"/>
  <c r="F143" i="5"/>
  <c r="G143" i="5"/>
  <c r="E140" i="5"/>
  <c r="J140" i="5" s="1"/>
  <c r="E143" i="5"/>
  <c r="E142" i="5"/>
  <c r="E141" i="5"/>
  <c r="J141" i="5" s="1"/>
  <c r="F123" i="5"/>
  <c r="G123" i="5"/>
  <c r="X14" i="5"/>
  <c r="AA79" i="5"/>
  <c r="G118" i="5"/>
  <c r="AA118" i="5" s="1"/>
  <c r="F142" i="5"/>
  <c r="G142" i="5"/>
  <c r="X110" i="5"/>
  <c r="E123" i="5"/>
  <c r="F129" i="5"/>
  <c r="F107" i="5"/>
  <c r="X104" i="5"/>
  <c r="Y149" i="5"/>
  <c r="Y162" i="5" s="1"/>
  <c r="Y133" i="5"/>
  <c r="X107" i="5"/>
  <c r="C12" i="6"/>
  <c r="D153" i="5"/>
  <c r="D129" i="5"/>
  <c r="X55" i="5"/>
  <c r="X51" i="5"/>
  <c r="X31" i="5"/>
  <c r="X27" i="5"/>
  <c r="X20" i="5"/>
  <c r="X39" i="5"/>
  <c r="X15" i="5"/>
  <c r="X49" i="5"/>
  <c r="X38" i="5"/>
  <c r="X26" i="5"/>
  <c r="X56" i="5"/>
  <c r="X33" i="5"/>
  <c r="X21" i="5"/>
  <c r="X12" i="5"/>
  <c r="X52" i="5"/>
  <c r="X46" i="5"/>
  <c r="X40" i="5"/>
  <c r="X36" i="5"/>
  <c r="X28" i="5"/>
  <c r="X24" i="5"/>
  <c r="X16" i="5"/>
  <c r="X54" i="5"/>
  <c r="X47" i="5"/>
  <c r="X41" i="5"/>
  <c r="X37" i="5"/>
  <c r="X29" i="5"/>
  <c r="X25" i="5"/>
  <c r="X17" i="5"/>
  <c r="X13" i="5"/>
  <c r="X57" i="5"/>
  <c r="X68" i="5"/>
  <c r="X65" i="5"/>
  <c r="X66" i="5"/>
  <c r="X64" i="5"/>
  <c r="D69" i="5"/>
  <c r="X59" i="5"/>
  <c r="X96" i="5"/>
  <c r="D150" i="5"/>
  <c r="D133" i="5"/>
  <c r="Y101" i="5"/>
  <c r="Y82" i="5"/>
  <c r="Y88" i="5"/>
  <c r="Y132" i="5"/>
  <c r="E121" i="5"/>
  <c r="J121" i="5" s="1"/>
  <c r="E128" i="5"/>
  <c r="J128" i="5" s="1"/>
  <c r="Y90" i="5"/>
  <c r="Y95" i="5"/>
  <c r="Y100" i="5"/>
  <c r="Y106" i="5"/>
  <c r="Y98" i="5"/>
  <c r="Y102" i="5"/>
  <c r="Y83" i="5"/>
  <c r="Y161" i="5" s="1"/>
  <c r="Y85" i="5"/>
  <c r="Y89" i="5"/>
  <c r="Y92" i="5"/>
  <c r="Y94" i="5"/>
  <c r="Y99" i="5"/>
  <c r="E118" i="5"/>
  <c r="Y118" i="5" s="1"/>
  <c r="Y131" i="5"/>
  <c r="Y135" i="5"/>
  <c r="Y130" i="5"/>
  <c r="Y136" i="5"/>
  <c r="Y148" i="5"/>
  <c r="AD148" i="5" s="1"/>
  <c r="Y151" i="5"/>
  <c r="E40" i="5"/>
  <c r="E59" i="5"/>
  <c r="E96" i="5"/>
  <c r="E132" i="5"/>
  <c r="J132" i="5" s="1"/>
  <c r="E41" i="5"/>
  <c r="E127" i="5"/>
  <c r="J127" i="5" s="1"/>
  <c r="E151" i="5"/>
  <c r="J151" i="5" s="1"/>
  <c r="E157" i="5"/>
  <c r="J157" i="5" s="1"/>
  <c r="E163" i="5"/>
  <c r="J163" i="5" s="1"/>
  <c r="E158" i="5"/>
  <c r="J158" i="5" s="1"/>
  <c r="E162" i="5"/>
  <c r="J162" i="5" s="1"/>
  <c r="B49" i="6"/>
  <c r="I49" i="6" s="1"/>
  <c r="B38" i="6"/>
  <c r="I38" i="6" s="1"/>
  <c r="B8" i="6"/>
  <c r="C29" i="5"/>
  <c r="J29" i="5" s="1"/>
  <c r="B29" i="5"/>
  <c r="W145" i="5"/>
  <c r="C79" i="5"/>
  <c r="W79" i="5" s="1"/>
  <c r="W9" i="5"/>
  <c r="C102" i="5"/>
  <c r="J102" i="5" s="1"/>
  <c r="C95" i="5"/>
  <c r="J95" i="5" s="1"/>
  <c r="C85" i="5"/>
  <c r="J85" i="5" s="1"/>
  <c r="C68" i="5"/>
  <c r="J68" i="5" s="1"/>
  <c r="C57" i="5"/>
  <c r="J57" i="5" s="1"/>
  <c r="C52" i="5"/>
  <c r="J52" i="5" s="1"/>
  <c r="C39" i="5"/>
  <c r="J39" i="5" s="1"/>
  <c r="C21" i="5"/>
  <c r="J21" i="5" s="1"/>
  <c r="F135" i="5" l="1"/>
  <c r="F153" i="5"/>
  <c r="Y163" i="5"/>
  <c r="AD163" i="5" s="1"/>
  <c r="AD162" i="5"/>
  <c r="AD161" i="5"/>
  <c r="D142" i="5"/>
  <c r="J142" i="5" s="1"/>
  <c r="C163" i="5"/>
  <c r="AD98" i="5"/>
  <c r="AD93" i="5"/>
  <c r="AD88" i="5"/>
  <c r="AD82" i="5"/>
  <c r="AD101" i="5"/>
  <c r="AD92" i="5"/>
  <c r="AD85" i="5"/>
  <c r="AD106" i="5"/>
  <c r="AD100" i="5"/>
  <c r="AD90" i="5"/>
  <c r="AD84" i="5"/>
  <c r="AD99" i="5"/>
  <c r="AD94" i="5"/>
  <c r="AD89" i="5"/>
  <c r="AD83" i="5"/>
  <c r="C122" i="5"/>
  <c r="AD95" i="5"/>
  <c r="AD151" i="5"/>
  <c r="AD102" i="5"/>
  <c r="F42" i="5"/>
  <c r="E12" i="6"/>
  <c r="E30" i="6" s="1"/>
  <c r="C141" i="5"/>
  <c r="D123" i="5"/>
  <c r="J123" i="5" s="1"/>
  <c r="G144" i="5"/>
  <c r="F144" i="5"/>
  <c r="D136" i="5"/>
  <c r="D42" i="5"/>
  <c r="D135" i="5"/>
  <c r="E144" i="5"/>
  <c r="W151" i="5"/>
  <c r="W167" i="5"/>
  <c r="Z107" i="5"/>
  <c r="F134" i="5"/>
  <c r="Z110" i="5"/>
  <c r="F133" i="5"/>
  <c r="F136" i="5"/>
  <c r="C118" i="5"/>
  <c r="W118" i="5" s="1"/>
  <c r="W106" i="5"/>
  <c r="C30" i="6"/>
  <c r="X69" i="5"/>
  <c r="E165" i="5"/>
  <c r="J165" i="5" s="1"/>
  <c r="W148" i="5"/>
  <c r="W127" i="5"/>
  <c r="Y68" i="5"/>
  <c r="Y65" i="5"/>
  <c r="Y59" i="5"/>
  <c r="Y56" i="5"/>
  <c r="Y54" i="5"/>
  <c r="Y51" i="5"/>
  <c r="Y47" i="5"/>
  <c r="Y41" i="5"/>
  <c r="Y39" i="5"/>
  <c r="Y37" i="5"/>
  <c r="Y33" i="5"/>
  <c r="Y29" i="5"/>
  <c r="Y27" i="5"/>
  <c r="Y25" i="5"/>
  <c r="Y21" i="5"/>
  <c r="Y17" i="5"/>
  <c r="Y15" i="5"/>
  <c r="Y13" i="5"/>
  <c r="Y66" i="5"/>
  <c r="Y64" i="5"/>
  <c r="Y57" i="5"/>
  <c r="Y55" i="5"/>
  <c r="Y52" i="5"/>
  <c r="Y49" i="5"/>
  <c r="Y46" i="5"/>
  <c r="Y40" i="5"/>
  <c r="Y38" i="5"/>
  <c r="Y36" i="5"/>
  <c r="Y31" i="5"/>
  <c r="Y28" i="5"/>
  <c r="Y26" i="5"/>
  <c r="Y24" i="5"/>
  <c r="Y20" i="5"/>
  <c r="Y16" i="5"/>
  <c r="Y14" i="5"/>
  <c r="Y12" i="5"/>
  <c r="E104" i="5"/>
  <c r="Y96" i="5"/>
  <c r="E126" i="5"/>
  <c r="J126" i="5" s="1"/>
  <c r="E69" i="5"/>
  <c r="E42" i="5" s="1"/>
  <c r="E159" i="5"/>
  <c r="J159" i="5" s="1"/>
  <c r="W149" i="5"/>
  <c r="W162" i="5" s="1"/>
  <c r="C151" i="5"/>
  <c r="C127" i="5"/>
  <c r="C157" i="5"/>
  <c r="C162" i="5"/>
  <c r="C164" i="5"/>
  <c r="C158" i="5"/>
  <c r="C59" i="5"/>
  <c r="J59" i="5" s="1"/>
  <c r="C33" i="5"/>
  <c r="J33" i="5" s="1"/>
  <c r="C121" i="5"/>
  <c r="C140" i="5"/>
  <c r="W83" i="5"/>
  <c r="W161" i="5" s="1"/>
  <c r="W85" i="5"/>
  <c r="W89" i="5"/>
  <c r="W92" i="5"/>
  <c r="W94" i="5"/>
  <c r="W99" i="5"/>
  <c r="W101" i="5"/>
  <c r="C96" i="5"/>
  <c r="C132" i="5"/>
  <c r="W82" i="5"/>
  <c r="W88" i="5"/>
  <c r="W90" i="5"/>
  <c r="W95" i="5"/>
  <c r="W98" i="5"/>
  <c r="W100" i="5"/>
  <c r="W102" i="5"/>
  <c r="W163" i="5" l="1"/>
  <c r="AD96" i="5"/>
  <c r="J96" i="5"/>
  <c r="D143" i="5"/>
  <c r="J143" i="5" s="1"/>
  <c r="C126" i="5"/>
  <c r="W135" i="5"/>
  <c r="AD133" i="5"/>
  <c r="AD136" i="5"/>
  <c r="AD131" i="5"/>
  <c r="AD127" i="5"/>
  <c r="AD134" i="5"/>
  <c r="AD130" i="5"/>
  <c r="AD135" i="5"/>
  <c r="AD132" i="5"/>
  <c r="F152" i="5"/>
  <c r="E51" i="6"/>
  <c r="Y104" i="5"/>
  <c r="E107" i="5"/>
  <c r="W136" i="5"/>
  <c r="W131" i="5"/>
  <c r="W130" i="5"/>
  <c r="D152" i="5"/>
  <c r="C51" i="6"/>
  <c r="Y69" i="5"/>
  <c r="E129" i="5"/>
  <c r="J129" i="5" s="1"/>
  <c r="W133" i="5"/>
  <c r="W134" i="5"/>
  <c r="W132" i="5"/>
  <c r="C159" i="5"/>
  <c r="C165" i="5"/>
  <c r="E150" i="5"/>
  <c r="J150" i="5" s="1"/>
  <c r="C69" i="5"/>
  <c r="J69" i="5" s="1"/>
  <c r="C128" i="5"/>
  <c r="C40" i="5"/>
  <c r="J40" i="5" s="1"/>
  <c r="C41" i="5"/>
  <c r="AD12" i="5" s="1"/>
  <c r="C104" i="5"/>
  <c r="W96" i="5"/>
  <c r="K136" i="5"/>
  <c r="K135" i="5"/>
  <c r="K134" i="5"/>
  <c r="K133" i="5"/>
  <c r="K132" i="5"/>
  <c r="K131" i="5"/>
  <c r="K130" i="5"/>
  <c r="K151" i="5"/>
  <c r="K150" i="5"/>
  <c r="K149" i="5"/>
  <c r="K148" i="5"/>
  <c r="S127" i="5"/>
  <c r="S133" i="5" s="1"/>
  <c r="R127" i="5"/>
  <c r="R133" i="5" s="1"/>
  <c r="Q127" i="5"/>
  <c r="Q135" i="5" s="1"/>
  <c r="V145" i="5"/>
  <c r="U145" i="5"/>
  <c r="T145" i="5"/>
  <c r="S145" i="5"/>
  <c r="S148" i="5" s="1"/>
  <c r="R145" i="5"/>
  <c r="Q145" i="5"/>
  <c r="V127" i="5"/>
  <c r="U127" i="5"/>
  <c r="T127" i="5"/>
  <c r="AD118" i="5"/>
  <c r="K83" i="5"/>
  <c r="K27" i="5"/>
  <c r="K26" i="5"/>
  <c r="A77" i="5"/>
  <c r="K65" i="5"/>
  <c r="K15" i="5"/>
  <c r="K14" i="5"/>
  <c r="K18" i="5"/>
  <c r="K17" i="5"/>
  <c r="J41" i="5" l="1"/>
  <c r="AD104" i="5"/>
  <c r="J104" i="5"/>
  <c r="AD65" i="5"/>
  <c r="AD56" i="5"/>
  <c r="AD45" i="5"/>
  <c r="AD38" i="5"/>
  <c r="AD31" i="5"/>
  <c r="AD26" i="5"/>
  <c r="AD15" i="5"/>
  <c r="AD64" i="5"/>
  <c r="AD55" i="5"/>
  <c r="AD49" i="5"/>
  <c r="AD41" i="5"/>
  <c r="AD37" i="5"/>
  <c r="AD25" i="5"/>
  <c r="AD18" i="5"/>
  <c r="AD14" i="5"/>
  <c r="AD54" i="5"/>
  <c r="AD47" i="5"/>
  <c r="AD36" i="5"/>
  <c r="AD28" i="5"/>
  <c r="AD24" i="5"/>
  <c r="AD17" i="5"/>
  <c r="AD13" i="5"/>
  <c r="AD66" i="5"/>
  <c r="AD16" i="5"/>
  <c r="AD27" i="5"/>
  <c r="AD46" i="5"/>
  <c r="AD51" i="5"/>
  <c r="AD20" i="5"/>
  <c r="AD29" i="5"/>
  <c r="AD57" i="5"/>
  <c r="AD21" i="5"/>
  <c r="AD39" i="5"/>
  <c r="AD52" i="5"/>
  <c r="AD68" i="5"/>
  <c r="AD59" i="5"/>
  <c r="AD40" i="5"/>
  <c r="AD33" i="5"/>
  <c r="AD69" i="5"/>
  <c r="V135" i="5"/>
  <c r="C42" i="5"/>
  <c r="D144" i="5"/>
  <c r="J144" i="5" s="1"/>
  <c r="D134" i="5"/>
  <c r="E135" i="5"/>
  <c r="J135" i="5" s="1"/>
  <c r="E134" i="5"/>
  <c r="E136" i="5"/>
  <c r="T151" i="5"/>
  <c r="V151" i="5"/>
  <c r="U136" i="5"/>
  <c r="U148" i="5"/>
  <c r="D12" i="6"/>
  <c r="S150" i="5"/>
  <c r="T135" i="5"/>
  <c r="T136" i="5"/>
  <c r="T132" i="5"/>
  <c r="Y107" i="5"/>
  <c r="Q134" i="5"/>
  <c r="V130" i="5"/>
  <c r="T134" i="5"/>
  <c r="Q131" i="5"/>
  <c r="Q136" i="5"/>
  <c r="R151" i="5"/>
  <c r="Q130" i="5"/>
  <c r="Q132" i="5"/>
  <c r="T130" i="5"/>
  <c r="T131" i="5"/>
  <c r="T133" i="5"/>
  <c r="R136" i="5"/>
  <c r="E133" i="5"/>
  <c r="J133" i="5" s="1"/>
  <c r="E153" i="5"/>
  <c r="J153" i="5" s="1"/>
  <c r="Y110" i="5"/>
  <c r="W40" i="5"/>
  <c r="W69" i="5"/>
  <c r="W66" i="5"/>
  <c r="W64" i="5"/>
  <c r="W57" i="5"/>
  <c r="W55" i="5"/>
  <c r="W52" i="5"/>
  <c r="W49" i="5"/>
  <c r="W46" i="5"/>
  <c r="W38" i="5"/>
  <c r="W36" i="5"/>
  <c r="W31" i="5"/>
  <c r="W28" i="5"/>
  <c r="W26" i="5"/>
  <c r="W24" i="5"/>
  <c r="W20" i="5"/>
  <c r="W16" i="5"/>
  <c r="W14" i="5"/>
  <c r="W12" i="5"/>
  <c r="W68" i="5"/>
  <c r="W65" i="5"/>
  <c r="W59" i="5"/>
  <c r="W56" i="5"/>
  <c r="W54" i="5"/>
  <c r="W51" i="5"/>
  <c r="W47" i="5"/>
  <c r="W45" i="5"/>
  <c r="W41" i="5"/>
  <c r="W39" i="5"/>
  <c r="W37" i="5"/>
  <c r="W27" i="5"/>
  <c r="W25" i="5"/>
  <c r="W17" i="5"/>
  <c r="W15" i="5"/>
  <c r="W13" i="5"/>
  <c r="W29" i="5"/>
  <c r="W21" i="5"/>
  <c r="W33" i="5"/>
  <c r="C107" i="5"/>
  <c r="J107" i="5" s="1"/>
  <c r="C150" i="5"/>
  <c r="W104" i="5"/>
  <c r="C129" i="5"/>
  <c r="R131" i="5"/>
  <c r="R132" i="5"/>
  <c r="R130" i="5"/>
  <c r="R134" i="5"/>
  <c r="R135" i="5"/>
  <c r="S132" i="5"/>
  <c r="S134" i="5"/>
  <c r="S136" i="5"/>
  <c r="S130" i="5"/>
  <c r="S131" i="5"/>
  <c r="S135" i="5"/>
  <c r="U131" i="5"/>
  <c r="V132" i="5"/>
  <c r="U133" i="5"/>
  <c r="V134" i="5"/>
  <c r="U135" i="5"/>
  <c r="V136" i="5"/>
  <c r="U130" i="5"/>
  <c r="V131" i="5"/>
  <c r="U132" i="5"/>
  <c r="V133" i="5"/>
  <c r="U134" i="5"/>
  <c r="Q148" i="5"/>
  <c r="Q150" i="5"/>
  <c r="R148" i="5"/>
  <c r="T148" i="5"/>
  <c r="V148" i="5"/>
  <c r="S149" i="5"/>
  <c r="S162" i="5" s="1"/>
  <c r="U149" i="5"/>
  <c r="U162" i="5" s="1"/>
  <c r="R150" i="5"/>
  <c r="T150" i="5"/>
  <c r="S151" i="5"/>
  <c r="U151" i="5"/>
  <c r="Q149" i="5"/>
  <c r="Q151" i="5"/>
  <c r="R149" i="5"/>
  <c r="T149" i="5"/>
  <c r="T162" i="5" s="1"/>
  <c r="V149" i="5"/>
  <c r="J134" i="5" l="1"/>
  <c r="J136" i="5"/>
  <c r="J137" i="5"/>
  <c r="B12" i="6"/>
  <c r="B30" i="6" s="1"/>
  <c r="AD107" i="5"/>
  <c r="V162" i="5"/>
  <c r="W110" i="5"/>
  <c r="W107" i="5"/>
  <c r="C153" i="5"/>
  <c r="C133" i="5"/>
  <c r="B154" i="5"/>
  <c r="C152" i="5" l="1"/>
  <c r="I30" i="6"/>
  <c r="I12" i="6"/>
  <c r="B51" i="6"/>
  <c r="I51" i="6" l="1"/>
  <c r="B102" i="5"/>
  <c r="B95" i="5"/>
  <c r="B85" i="5"/>
  <c r="B68" i="5"/>
  <c r="B57" i="5"/>
  <c r="B52" i="5"/>
  <c r="B39" i="5"/>
  <c r="B21" i="5"/>
  <c r="D49" i="6"/>
  <c r="D38" i="6"/>
  <c r="T167" i="5"/>
  <c r="S166" i="5"/>
  <c r="R82" i="5"/>
  <c r="P95" i="5"/>
  <c r="S95" i="5"/>
  <c r="M95" i="5"/>
  <c r="I6" i="6"/>
  <c r="A5" i="6"/>
  <c r="AG99" i="5"/>
  <c r="U85" i="5"/>
  <c r="K35" i="5"/>
  <c r="L9" i="5"/>
  <c r="M9" i="5" s="1"/>
  <c r="T89" i="5"/>
  <c r="Q94" i="5"/>
  <c r="S82" i="5"/>
  <c r="K45" i="5"/>
  <c r="T98" i="5"/>
  <c r="K84" i="5"/>
  <c r="K85" i="5"/>
  <c r="K82" i="5"/>
  <c r="R88" i="5"/>
  <c r="K33" i="5"/>
  <c r="K99" i="5"/>
  <c r="K100" i="5"/>
  <c r="K101" i="5"/>
  <c r="K102" i="5"/>
  <c r="K104" i="5"/>
  <c r="K105" i="5"/>
  <c r="K106" i="5"/>
  <c r="K107" i="5"/>
  <c r="K109" i="5"/>
  <c r="K110" i="5"/>
  <c r="K98" i="5"/>
  <c r="K89" i="5"/>
  <c r="K90" i="5"/>
  <c r="K92" i="5"/>
  <c r="K93" i="5"/>
  <c r="K94" i="5"/>
  <c r="K88" i="5"/>
  <c r="A116" i="5"/>
  <c r="K116" i="5" s="1"/>
  <c r="A75" i="5"/>
  <c r="J77" i="5"/>
  <c r="AD78" i="5"/>
  <c r="K69" i="5"/>
  <c r="K68" i="5"/>
  <c r="K66" i="5"/>
  <c r="K64" i="5"/>
  <c r="K63" i="5"/>
  <c r="K61" i="5"/>
  <c r="K59" i="5"/>
  <c r="K55" i="5"/>
  <c r="K56" i="5"/>
  <c r="K57" i="5"/>
  <c r="K54" i="5"/>
  <c r="K37" i="5"/>
  <c r="K38" i="5"/>
  <c r="K36" i="5"/>
  <c r="K31" i="5"/>
  <c r="K25" i="5"/>
  <c r="K28" i="5"/>
  <c r="K29" i="5"/>
  <c r="K24" i="5"/>
  <c r="P101" i="5"/>
  <c r="N99" i="5"/>
  <c r="P88" i="5"/>
  <c r="K46" i="5"/>
  <c r="K47" i="5"/>
  <c r="K49" i="5"/>
  <c r="K51" i="5"/>
  <c r="K44" i="5"/>
  <c r="K13" i="5"/>
  <c r="K16" i="5"/>
  <c r="K20" i="5"/>
  <c r="K21" i="5"/>
  <c r="K12" i="5"/>
  <c r="A114" i="5"/>
  <c r="K114" i="5" s="1"/>
  <c r="O92" i="5" l="1"/>
  <c r="O106" i="5"/>
  <c r="S84" i="5"/>
  <c r="P93" i="5"/>
  <c r="T100" i="5"/>
  <c r="O88" i="5"/>
  <c r="P94" i="5"/>
  <c r="O84" i="5"/>
  <c r="O99" i="5"/>
  <c r="O105" i="5"/>
  <c r="S88" i="5"/>
  <c r="S100" i="5"/>
  <c r="O82" i="5"/>
  <c r="P84" i="5"/>
  <c r="O90" i="5"/>
  <c r="O95" i="5"/>
  <c r="P99" i="5"/>
  <c r="P105" i="5"/>
  <c r="S92" i="5"/>
  <c r="S101" i="5"/>
  <c r="T106" i="5"/>
  <c r="T82" i="5"/>
  <c r="O94" i="5"/>
  <c r="O102" i="5"/>
  <c r="O85" i="5"/>
  <c r="P90" i="5"/>
  <c r="O98" i="5"/>
  <c r="O100" i="5"/>
  <c r="P106" i="5"/>
  <c r="S94" i="5"/>
  <c r="T85" i="5"/>
  <c r="T92" i="5"/>
  <c r="T95" i="5"/>
  <c r="S102" i="5"/>
  <c r="M101" i="5"/>
  <c r="Q101" i="5"/>
  <c r="Q102" i="5"/>
  <c r="N101" i="5"/>
  <c r="M105" i="5"/>
  <c r="M106" i="5"/>
  <c r="N106" i="5"/>
  <c r="R94" i="5"/>
  <c r="O89" i="5"/>
  <c r="O93" i="5"/>
  <c r="M99" i="5"/>
  <c r="Q99" i="5"/>
  <c r="O101" i="5"/>
  <c r="N105" i="5"/>
  <c r="R98" i="5"/>
  <c r="S90" i="5"/>
  <c r="S98" i="5"/>
  <c r="M94" i="5"/>
  <c r="Q85" i="5"/>
  <c r="Q89" i="5"/>
  <c r="Q92" i="5"/>
  <c r="M98" i="5"/>
  <c r="M100" i="5"/>
  <c r="M102" i="5"/>
  <c r="M82" i="5"/>
  <c r="M84" i="5"/>
  <c r="Q84" i="5"/>
  <c r="M88" i="5"/>
  <c r="Q88" i="5"/>
  <c r="M90" i="5"/>
  <c r="Q90" i="5"/>
  <c r="M93" i="5"/>
  <c r="Q93" i="5"/>
  <c r="Q106" i="5"/>
  <c r="R85" i="5"/>
  <c r="R100" i="5"/>
  <c r="U94" i="5"/>
  <c r="N84" i="5"/>
  <c r="M85" i="5"/>
  <c r="N88" i="5"/>
  <c r="M89" i="5"/>
  <c r="N90" i="5"/>
  <c r="M92" i="5"/>
  <c r="N93" i="5"/>
  <c r="Q98" i="5"/>
  <c r="Q100" i="5"/>
  <c r="R92" i="5"/>
  <c r="R102" i="5"/>
  <c r="S85" i="5"/>
  <c r="S93" i="5"/>
  <c r="S99" i="5"/>
  <c r="S106" i="5"/>
  <c r="S89" i="5"/>
  <c r="Q82" i="5"/>
  <c r="N94" i="5"/>
  <c r="N95" i="5"/>
  <c r="P85" i="5"/>
  <c r="N89" i="5"/>
  <c r="P92" i="5"/>
  <c r="N98" i="5"/>
  <c r="P100" i="5"/>
  <c r="N102" i="5"/>
  <c r="R84" i="5"/>
  <c r="R93" i="5"/>
  <c r="R99" i="5"/>
  <c r="R106" i="5"/>
  <c r="L79" i="5"/>
  <c r="R89" i="5"/>
  <c r="T88" i="5"/>
  <c r="T102" i="5"/>
  <c r="P82" i="5"/>
  <c r="T90" i="5"/>
  <c r="N85" i="5"/>
  <c r="P89" i="5"/>
  <c r="N92" i="5"/>
  <c r="P98" i="5"/>
  <c r="N100" i="5"/>
  <c r="P102" i="5"/>
  <c r="R90" i="5"/>
  <c r="R95" i="5"/>
  <c r="R101" i="5"/>
  <c r="T84" i="5"/>
  <c r="T99" i="5"/>
  <c r="N82" i="5"/>
  <c r="T94" i="5"/>
  <c r="C142" i="5"/>
  <c r="B142" i="5"/>
  <c r="B141" i="5"/>
  <c r="C123" i="5"/>
  <c r="V167" i="5"/>
  <c r="U167" i="5"/>
  <c r="T96" i="5"/>
  <c r="U82" i="5"/>
  <c r="U89" i="5"/>
  <c r="U106" i="5"/>
  <c r="V83" i="5"/>
  <c r="U83" i="5"/>
  <c r="T83" i="5"/>
  <c r="C135" i="5"/>
  <c r="C136" i="5"/>
  <c r="Q83" i="5"/>
  <c r="R83" i="5"/>
  <c r="S96" i="5"/>
  <c r="S83" i="5"/>
  <c r="U92" i="5"/>
  <c r="U99" i="5"/>
  <c r="U101" i="5"/>
  <c r="R96" i="5"/>
  <c r="M79" i="5"/>
  <c r="N9" i="5"/>
  <c r="N33" i="5"/>
  <c r="O21" i="5"/>
  <c r="AG25" i="5"/>
  <c r="L82" i="5"/>
  <c r="L57" i="5"/>
  <c r="B132" i="5"/>
  <c r="U84" i="5"/>
  <c r="U88" i="5"/>
  <c r="U90" i="5"/>
  <c r="U93" i="5"/>
  <c r="U98" i="5"/>
  <c r="U100" i="5"/>
  <c r="U102" i="5"/>
  <c r="B163" i="5"/>
  <c r="B151" i="5"/>
  <c r="B33" i="5"/>
  <c r="B123" i="5"/>
  <c r="B140" i="5"/>
  <c r="V84" i="5"/>
  <c r="V88" i="5"/>
  <c r="V90" i="5"/>
  <c r="V95" i="5"/>
  <c r="V98" i="5"/>
  <c r="V100" i="5"/>
  <c r="V102" i="5"/>
  <c r="B96" i="5"/>
  <c r="V82" i="5"/>
  <c r="V85" i="5"/>
  <c r="V89" i="5"/>
  <c r="V92" i="5"/>
  <c r="V94" i="5"/>
  <c r="V99" i="5"/>
  <c r="V101" i="5"/>
  <c r="V106" i="5"/>
  <c r="B157" i="5"/>
  <c r="B162" i="5"/>
  <c r="B164" i="5"/>
  <c r="B158" i="5"/>
  <c r="B127" i="5"/>
  <c r="B59" i="5"/>
  <c r="B122" i="5"/>
  <c r="B121" i="5"/>
  <c r="U95" i="5"/>
  <c r="K3" i="5"/>
  <c r="K73" i="5"/>
  <c r="A73" i="5"/>
  <c r="B128" i="5" l="1"/>
  <c r="R14" i="5"/>
  <c r="U25" i="5"/>
  <c r="N21" i="5"/>
  <c r="S17" i="5"/>
  <c r="N40" i="5"/>
  <c r="C143" i="5"/>
  <c r="B69" i="5"/>
  <c r="B143" i="5"/>
  <c r="O69" i="5"/>
  <c r="T161" i="5"/>
  <c r="U161" i="5"/>
  <c r="S161" i="5"/>
  <c r="V161" i="5"/>
  <c r="B40" i="5"/>
  <c r="R27" i="5"/>
  <c r="R65" i="5"/>
  <c r="S14" i="5"/>
  <c r="S65" i="5"/>
  <c r="R69" i="5"/>
  <c r="Q27" i="5"/>
  <c r="Q26" i="5"/>
  <c r="Q15" i="5"/>
  <c r="Q14" i="5"/>
  <c r="Q65" i="5"/>
  <c r="L69" i="5"/>
  <c r="Q40" i="5"/>
  <c r="Q33" i="5"/>
  <c r="Q59" i="5"/>
  <c r="O45" i="5"/>
  <c r="O39" i="5"/>
  <c r="O24" i="5"/>
  <c r="O68" i="5"/>
  <c r="O64" i="5"/>
  <c r="O57" i="5"/>
  <c r="O55" i="5"/>
  <c r="O52" i="5"/>
  <c r="O49" i="5"/>
  <c r="O46" i="5"/>
  <c r="O41" i="5"/>
  <c r="O36" i="5"/>
  <c r="O29" i="5"/>
  <c r="O25" i="5"/>
  <c r="O20" i="5"/>
  <c r="O13" i="5"/>
  <c r="O61" i="5"/>
  <c r="O54" i="5"/>
  <c r="O51" i="5"/>
  <c r="O47" i="5"/>
  <c r="O44" i="5"/>
  <c r="O37" i="5"/>
  <c r="O28" i="5"/>
  <c r="O16" i="5"/>
  <c r="O12" i="5"/>
  <c r="O31" i="5"/>
  <c r="O38" i="5"/>
  <c r="O66" i="5"/>
  <c r="O56" i="5"/>
  <c r="O9" i="5"/>
  <c r="O33" i="5"/>
  <c r="O40" i="5"/>
  <c r="M69" i="5"/>
  <c r="N31" i="5"/>
  <c r="N38" i="5"/>
  <c r="N66" i="5"/>
  <c r="N61" i="5"/>
  <c r="N56" i="5"/>
  <c r="N54" i="5"/>
  <c r="N51" i="5"/>
  <c r="N47" i="5"/>
  <c r="N44" i="5"/>
  <c r="N37" i="5"/>
  <c r="N28" i="5"/>
  <c r="N16" i="5"/>
  <c r="N12" i="5"/>
  <c r="N57" i="5"/>
  <c r="N46" i="5"/>
  <c r="N36" i="5"/>
  <c r="N25" i="5"/>
  <c r="N45" i="5"/>
  <c r="N39" i="5"/>
  <c r="N24" i="5"/>
  <c r="N68" i="5"/>
  <c r="N64" i="5"/>
  <c r="N55" i="5"/>
  <c r="N52" i="5"/>
  <c r="N49" i="5"/>
  <c r="N41" i="5"/>
  <c r="N29" i="5"/>
  <c r="N20" i="5"/>
  <c r="N13" i="5"/>
  <c r="P96" i="5"/>
  <c r="N79" i="5"/>
  <c r="M96" i="5"/>
  <c r="O59" i="5"/>
  <c r="L68" i="5"/>
  <c r="L64" i="5"/>
  <c r="L59" i="5"/>
  <c r="L56" i="5"/>
  <c r="L54" i="5"/>
  <c r="L51" i="5"/>
  <c r="L47" i="5"/>
  <c r="L44" i="5"/>
  <c r="L39" i="5"/>
  <c r="L37" i="5"/>
  <c r="L33" i="5"/>
  <c r="L24" i="5"/>
  <c r="L28" i="5"/>
  <c r="L21" i="5"/>
  <c r="L16" i="5"/>
  <c r="L12" i="5"/>
  <c r="L66" i="5"/>
  <c r="L61" i="5"/>
  <c r="L55" i="5"/>
  <c r="L52" i="5"/>
  <c r="L49" i="5"/>
  <c r="L46" i="5"/>
  <c r="L41" i="5"/>
  <c r="L38" i="5"/>
  <c r="L36" i="5"/>
  <c r="L31" i="5"/>
  <c r="L29" i="5"/>
  <c r="L25" i="5"/>
  <c r="L20" i="5"/>
  <c r="L13" i="5"/>
  <c r="N96" i="5"/>
  <c r="L40" i="5"/>
  <c r="Q95" i="5"/>
  <c r="O96" i="5"/>
  <c r="N59" i="5"/>
  <c r="L106" i="5"/>
  <c r="L102" i="5"/>
  <c r="L100" i="5"/>
  <c r="L98" i="5"/>
  <c r="L95" i="5"/>
  <c r="L93" i="5"/>
  <c r="L90" i="5"/>
  <c r="L88" i="5"/>
  <c r="L84" i="5"/>
  <c r="L105" i="5"/>
  <c r="L101" i="5"/>
  <c r="L99" i="5"/>
  <c r="L94" i="5"/>
  <c r="L92" i="5"/>
  <c r="L89" i="5"/>
  <c r="L85" i="5"/>
  <c r="N69" i="5"/>
  <c r="B159" i="5"/>
  <c r="B165" i="5"/>
  <c r="B41" i="5"/>
  <c r="V96" i="5"/>
  <c r="B104" i="5"/>
  <c r="B126" i="5"/>
  <c r="U96" i="5"/>
  <c r="S66" i="5"/>
  <c r="S57" i="5"/>
  <c r="S44" i="5"/>
  <c r="S38" i="5"/>
  <c r="S12" i="5"/>
  <c r="S45" i="5"/>
  <c r="S59" i="5"/>
  <c r="S56" i="5"/>
  <c r="S41" i="5"/>
  <c r="S39" i="5"/>
  <c r="S20" i="5"/>
  <c r="R45" i="5"/>
  <c r="R31" i="5"/>
  <c r="R66" i="5"/>
  <c r="R47" i="5"/>
  <c r="R38" i="5"/>
  <c r="R49" i="5"/>
  <c r="R68" i="5"/>
  <c r="R54" i="5"/>
  <c r="R51" i="5"/>
  <c r="R36" i="5"/>
  <c r="R21" i="5"/>
  <c r="Q31" i="5"/>
  <c r="Q47" i="5"/>
  <c r="Q46" i="5"/>
  <c r="Q44" i="5"/>
  <c r="Q41" i="5"/>
  <c r="Q37" i="5"/>
  <c r="Q36" i="5"/>
  <c r="Q29" i="5"/>
  <c r="Q28" i="5"/>
  <c r="Q25" i="5"/>
  <c r="Q21" i="5"/>
  <c r="Q20" i="5"/>
  <c r="Q16" i="5"/>
  <c r="Q13" i="5"/>
  <c r="Q12" i="5"/>
  <c r="Q49" i="5"/>
  <c r="Q45" i="5"/>
  <c r="Q38" i="5"/>
  <c r="Q39" i="5"/>
  <c r="Q24" i="5"/>
  <c r="Q68" i="5"/>
  <c r="Q66" i="5"/>
  <c r="Q64" i="5"/>
  <c r="Q57" i="5"/>
  <c r="Q56" i="5"/>
  <c r="Q55" i="5"/>
  <c r="Q54" i="5"/>
  <c r="Q52" i="5"/>
  <c r="Q51" i="5"/>
  <c r="P33" i="5"/>
  <c r="R104" i="5"/>
  <c r="T104" i="5"/>
  <c r="R12" i="5" l="1"/>
  <c r="R39" i="5"/>
  <c r="R56" i="5"/>
  <c r="R20" i="5"/>
  <c r="R52" i="5"/>
  <c r="R28" i="5"/>
  <c r="S24" i="5"/>
  <c r="S46" i="5"/>
  <c r="S68" i="5"/>
  <c r="S16" i="5"/>
  <c r="S47" i="5"/>
  <c r="S25" i="5"/>
  <c r="R40" i="5"/>
  <c r="S69" i="5"/>
  <c r="S27" i="5"/>
  <c r="S33" i="5"/>
  <c r="R15" i="5"/>
  <c r="R16" i="5"/>
  <c r="R41" i="5"/>
  <c r="R64" i="5"/>
  <c r="R24" i="5"/>
  <c r="R55" i="5"/>
  <c r="R25" i="5"/>
  <c r="S31" i="5"/>
  <c r="S54" i="5"/>
  <c r="S28" i="5"/>
  <c r="S21" i="5"/>
  <c r="S55" i="5"/>
  <c r="S26" i="5"/>
  <c r="R26" i="5"/>
  <c r="R33" i="5"/>
  <c r="S40" i="5"/>
  <c r="U44" i="5"/>
  <c r="U36" i="5"/>
  <c r="U49" i="5"/>
  <c r="U56" i="5"/>
  <c r="U66" i="5"/>
  <c r="U47" i="5"/>
  <c r="U14" i="5"/>
  <c r="U20" i="5"/>
  <c r="S104" i="5"/>
  <c r="R29" i="5"/>
  <c r="R46" i="5"/>
  <c r="R59" i="5"/>
  <c r="R13" i="5"/>
  <c r="R44" i="5"/>
  <c r="R57" i="5"/>
  <c r="R37" i="5"/>
  <c r="S13" i="5"/>
  <c r="S36" i="5"/>
  <c r="S51" i="5"/>
  <c r="S64" i="5"/>
  <c r="S49" i="5"/>
  <c r="S29" i="5"/>
  <c r="S52" i="5"/>
  <c r="S37" i="5"/>
  <c r="M59" i="5"/>
  <c r="S15" i="5"/>
  <c r="U24" i="5"/>
  <c r="U38" i="5"/>
  <c r="U52" i="5"/>
  <c r="U12" i="5"/>
  <c r="U29" i="5"/>
  <c r="U46" i="5"/>
  <c r="U59" i="5"/>
  <c r="B144" i="5"/>
  <c r="U33" i="5"/>
  <c r="U15" i="5"/>
  <c r="U40" i="5"/>
  <c r="U28" i="5"/>
  <c r="U41" i="5"/>
  <c r="U55" i="5"/>
  <c r="U16" i="5"/>
  <c r="U37" i="5"/>
  <c r="U51" i="5"/>
  <c r="U64" i="5"/>
  <c r="U26" i="5"/>
  <c r="U13" i="5"/>
  <c r="U31" i="5"/>
  <c r="U45" i="5"/>
  <c r="U57" i="5"/>
  <c r="U21" i="5"/>
  <c r="U39" i="5"/>
  <c r="U54" i="5"/>
  <c r="U68" i="5"/>
  <c r="U65" i="5"/>
  <c r="U27" i="5"/>
  <c r="B150" i="5"/>
  <c r="B42" i="5"/>
  <c r="C144" i="5"/>
  <c r="C134" i="5"/>
  <c r="V27" i="5"/>
  <c r="V17" i="5"/>
  <c r="V14" i="5"/>
  <c r="V65" i="5"/>
  <c r="V26" i="5"/>
  <c r="V15" i="5"/>
  <c r="M21" i="5"/>
  <c r="M45" i="5"/>
  <c r="M39" i="5"/>
  <c r="M24" i="5"/>
  <c r="M64" i="5"/>
  <c r="M57" i="5"/>
  <c r="M55" i="5"/>
  <c r="M52" i="5"/>
  <c r="M49" i="5"/>
  <c r="M46" i="5"/>
  <c r="M41" i="5"/>
  <c r="M36" i="5"/>
  <c r="M29" i="5"/>
  <c r="M25" i="5"/>
  <c r="M20" i="5"/>
  <c r="M13" i="5"/>
  <c r="M66" i="5"/>
  <c r="M56" i="5"/>
  <c r="M51" i="5"/>
  <c r="M16" i="5"/>
  <c r="M38" i="5"/>
  <c r="M31" i="5"/>
  <c r="M61" i="5"/>
  <c r="M54" i="5"/>
  <c r="M47" i="5"/>
  <c r="M44" i="5"/>
  <c r="M37" i="5"/>
  <c r="M28" i="5"/>
  <c r="M12" i="5"/>
  <c r="M33" i="5"/>
  <c r="M68" i="5"/>
  <c r="P9" i="5"/>
  <c r="M40" i="5"/>
  <c r="N104" i="5"/>
  <c r="M104" i="5"/>
  <c r="P104" i="5"/>
  <c r="L96" i="5"/>
  <c r="O104" i="5"/>
  <c r="Q96" i="5"/>
  <c r="O79" i="5"/>
  <c r="V16" i="5"/>
  <c r="V68" i="5"/>
  <c r="V47" i="5"/>
  <c r="V40" i="5"/>
  <c r="V37" i="5"/>
  <c r="V59" i="5"/>
  <c r="V28" i="5"/>
  <c r="V52" i="5"/>
  <c r="V29" i="5"/>
  <c r="V41" i="5"/>
  <c r="V54" i="5"/>
  <c r="V69" i="5"/>
  <c r="V20" i="5"/>
  <c r="V36" i="5"/>
  <c r="V46" i="5"/>
  <c r="V57" i="5"/>
  <c r="V21" i="5"/>
  <c r="V12" i="5"/>
  <c r="V25" i="5"/>
  <c r="V33" i="5"/>
  <c r="V39" i="5"/>
  <c r="V51" i="5"/>
  <c r="V56" i="5"/>
  <c r="V66" i="5"/>
  <c r="V13" i="5"/>
  <c r="V24" i="5"/>
  <c r="V31" i="5"/>
  <c r="V38" i="5"/>
  <c r="V44" i="5"/>
  <c r="V49" i="5"/>
  <c r="V55" i="5"/>
  <c r="V64" i="5"/>
  <c r="B107" i="5"/>
  <c r="V104" i="5"/>
  <c r="B129" i="5"/>
  <c r="U69" i="5"/>
  <c r="U104" i="5"/>
  <c r="P49" i="5"/>
  <c r="P45" i="5"/>
  <c r="P38" i="5"/>
  <c r="P69" i="5"/>
  <c r="P66" i="5"/>
  <c r="P57" i="5"/>
  <c r="P55" i="5"/>
  <c r="P52" i="5"/>
  <c r="P46" i="5"/>
  <c r="P41" i="5"/>
  <c r="P36" i="5"/>
  <c r="P29" i="5"/>
  <c r="P25" i="5"/>
  <c r="P20" i="5"/>
  <c r="P13" i="5"/>
  <c r="P31" i="5"/>
  <c r="P39" i="5"/>
  <c r="P24" i="5"/>
  <c r="P68" i="5"/>
  <c r="P64" i="5"/>
  <c r="P59" i="5"/>
  <c r="P56" i="5"/>
  <c r="P54" i="5"/>
  <c r="P51" i="5"/>
  <c r="P47" i="5"/>
  <c r="P44" i="5"/>
  <c r="P37" i="5"/>
  <c r="P28" i="5"/>
  <c r="P21" i="5"/>
  <c r="P16" i="5"/>
  <c r="P12" i="5"/>
  <c r="P40" i="5"/>
  <c r="R107" i="5"/>
  <c r="R110" i="5"/>
  <c r="S107" i="5"/>
  <c r="S110" i="5"/>
  <c r="T107" i="5"/>
  <c r="T110" i="5"/>
  <c r="AD110" i="5" l="1"/>
  <c r="T69" i="5"/>
  <c r="T59" i="5"/>
  <c r="T26" i="5"/>
  <c r="T27" i="5"/>
  <c r="T14" i="5"/>
  <c r="T65" i="5"/>
  <c r="T15" i="5"/>
  <c r="B133" i="5"/>
  <c r="Q9" i="5"/>
  <c r="T33" i="5"/>
  <c r="T66" i="5"/>
  <c r="T47" i="5"/>
  <c r="T36" i="5"/>
  <c r="T20" i="5"/>
  <c r="T64" i="5"/>
  <c r="T46" i="5"/>
  <c r="T16" i="5"/>
  <c r="T45" i="5"/>
  <c r="T57" i="5"/>
  <c r="T52" i="5"/>
  <c r="T44" i="5"/>
  <c r="T38" i="5"/>
  <c r="T31" i="5"/>
  <c r="T24" i="5"/>
  <c r="T13" i="5"/>
  <c r="T68" i="5"/>
  <c r="T56" i="5"/>
  <c r="T51" i="5"/>
  <c r="T41" i="5"/>
  <c r="T37" i="5"/>
  <c r="T29" i="5"/>
  <c r="T21" i="5"/>
  <c r="T12" i="5"/>
  <c r="AE12" i="5" s="1"/>
  <c r="T55" i="5"/>
  <c r="T28" i="5"/>
  <c r="T49" i="5"/>
  <c r="T54" i="5"/>
  <c r="T39" i="5"/>
  <c r="T25" i="5"/>
  <c r="Q69" i="5"/>
  <c r="T40" i="5"/>
  <c r="U110" i="5"/>
  <c r="P79" i="5"/>
  <c r="L104" i="5"/>
  <c r="P109" i="5"/>
  <c r="P107" i="5"/>
  <c r="P110" i="5"/>
  <c r="N109" i="5"/>
  <c r="N107" i="5"/>
  <c r="N110" i="5"/>
  <c r="Q104" i="5"/>
  <c r="O107" i="5"/>
  <c r="O110" i="5"/>
  <c r="O109" i="5"/>
  <c r="D30" i="6"/>
  <c r="E152" i="5" s="1"/>
  <c r="J152" i="5" s="1"/>
  <c r="M110" i="5"/>
  <c r="M107" i="5"/>
  <c r="M109" i="5"/>
  <c r="B153" i="5"/>
  <c r="V110" i="5"/>
  <c r="V107" i="5"/>
  <c r="B136" i="5"/>
  <c r="B135" i="5"/>
  <c r="B134" i="5"/>
  <c r="U107" i="5"/>
  <c r="R9" i="5" l="1"/>
  <c r="Q118" i="5"/>
  <c r="D51" i="6"/>
  <c r="Q107" i="5"/>
  <c r="Q110" i="5"/>
  <c r="L107" i="5"/>
  <c r="L109" i="5"/>
  <c r="L110" i="5"/>
  <c r="Q79" i="5"/>
  <c r="B152" i="5" l="1"/>
  <c r="S9" i="5"/>
  <c r="R118" i="5"/>
  <c r="R79" i="5"/>
  <c r="T9" i="5" l="1"/>
  <c r="S118" i="5"/>
  <c r="S79" i="5"/>
  <c r="U9" i="5" l="1"/>
  <c r="U118" i="5" s="1"/>
  <c r="T118" i="5"/>
  <c r="V9" i="5"/>
  <c r="B79" i="5"/>
  <c r="T79" i="5"/>
  <c r="U79" i="5" l="1"/>
  <c r="V79" i="5"/>
  <c r="B118" i="5"/>
  <c r="V118" i="5" s="1"/>
  <c r="B55" i="6" l="1"/>
  <c r="C53" i="6" l="1"/>
  <c r="C55" i="6" l="1"/>
  <c r="D53" i="6" s="1"/>
  <c r="D55" i="6" l="1"/>
  <c r="E53" i="6" s="1"/>
  <c r="E55" i="6" l="1"/>
  <c r="F53" i="6" l="1"/>
  <c r="F55" i="6" l="1"/>
  <c r="G53" i="6" s="1"/>
  <c r="G55" i="6" l="1"/>
  <c r="I53" i="6"/>
  <c r="H53" i="6" l="1"/>
  <c r="H55" i="6" s="1"/>
  <c r="I55" i="6"/>
</calcChain>
</file>

<file path=xl/sharedStrings.xml><?xml version="1.0" encoding="utf-8"?>
<sst xmlns="http://schemas.openxmlformats.org/spreadsheetml/2006/main" count="249" uniqueCount="205">
  <si>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</si>
  <si>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</si>
  <si>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</si>
  <si>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</si>
  <si>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</si>
  <si>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</si>
  <si>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</si>
  <si>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</si>
  <si>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</si>
  <si>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</si>
  <si>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</si>
  <si>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Difference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</si>
  <si>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</si>
  <si>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</si>
  <si>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</si>
  <si>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</si>
  <si>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</si>
  <si>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</si>
  <si>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</si>
  <si>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</si>
  <si>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</si>
  <si>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</si>
  <si>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</si>
  <si>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</si>
  <si>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</si>
  <si>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</si>
  <si>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</si>
  <si>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</si>
  <si>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</si>
  <si>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</si>
  <si>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</si>
  <si>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</si>
  <si>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</si>
  <si>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</si>
  <si>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</si>
  <si>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</si>
  <si>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</si>
  <si>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</si>
  <si>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</si>
  <si>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</si>
  <si>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</si>
  <si>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</si>
  <si>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</si>
  <si>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</si>
  <si>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</si>
  <si>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</si>
  <si>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</si>
  <si>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</si>
  <si>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</si>
  <si>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</si>
  <si>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</si>
  <si>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</si>
  <si>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</si>
  <si>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</si>
  <si>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</si>
  <si>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</si>
  <si>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</si>
  <si>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</si>
  <si>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Net Plant &amp; Equipment</t>
  </si>
  <si>
    <t>Regulatory Assets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</si>
  <si>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</si>
  <si>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</si>
  <si>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</si>
  <si>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</si>
  <si>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</si>
  <si>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</si>
  <si>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</si>
  <si>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</si>
  <si>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</si>
  <si>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</si>
  <si>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</si>
  <si>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</si>
  <si>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</si>
  <si>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</si>
  <si>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</si>
  <si>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</si>
  <si>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</si>
  <si>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</si>
  <si>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</si>
  <si>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</si>
  <si>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</si>
  <si>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</si>
  <si>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</si>
  <si>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</si>
  <si>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</si>
  <si>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</si>
  <si>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Change in cash and cash equivalents</t>
  </si>
  <si>
    <t>Historical Cash Flow Statements</t>
  </si>
  <si>
    <t>Material and Supplies</t>
  </si>
  <si>
    <t>Goodwill</t>
  </si>
  <si>
    <t>Notes Payable to Questar</t>
  </si>
  <si>
    <t>Acounts Payable</t>
  </si>
  <si>
    <t>Acounts Payable, Affiliates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</si>
  <si>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</si>
  <si>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</si>
  <si>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</si>
  <si>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Materials and Supplies</t>
  </si>
  <si>
    <t xml:space="preserve">      Accounts payable and accrued expenses</t>
  </si>
  <si>
    <t xml:space="preserve">      Rate-refund obligation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</si>
  <si>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</si>
  <si>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</si>
  <si>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</si>
  <si>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</si>
  <si>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</si>
  <si>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</si>
  <si>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 xml:space="preserve">   Interest and Other Income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</si>
  <si>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</si>
  <si>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</si>
  <si>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</si>
  <si>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</si>
  <si>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</si>
  <si>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</si>
  <si>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>Construction Work in Progress</t>
  </si>
  <si>
    <t>page 2 of 5</t>
  </si>
  <si>
    <t>page 1 of 5</t>
  </si>
  <si>
    <t>page 4 of 5</t>
  </si>
  <si>
    <t>page 3 of 5</t>
  </si>
  <si>
    <t>page 5 of 5</t>
  </si>
  <si>
    <t>Accumulated Dep &amp; Amort</t>
  </si>
  <si>
    <t>Outlook</t>
  </si>
  <si>
    <t>Stable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</si>
  <si>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</si>
  <si>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</si>
  <si>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</si>
  <si>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</si>
  <si>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</si>
  <si>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</si>
  <si>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</si>
  <si>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</si>
  <si>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</si>
  <si>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</si>
  <si>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</si>
  <si>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Questar Pipeline Company</t>
  </si>
  <si>
    <t>From Unaffiliated Customers</t>
  </si>
  <si>
    <t>Affiliated Companies</t>
  </si>
  <si>
    <t xml:space="preserve">   General and Administrative</t>
  </si>
  <si>
    <t xml:space="preserve">   Income from Unconsolidated Affiliate</t>
  </si>
  <si>
    <t>Accounts Receivable Affiliates</t>
  </si>
  <si>
    <t>Notes Receivable from Questar</t>
  </si>
  <si>
    <t>Transportation</t>
  </si>
  <si>
    <t>Storage</t>
  </si>
  <si>
    <t>Processing</t>
  </si>
  <si>
    <t>General and Intangible</t>
  </si>
  <si>
    <t>Investment in Unconsolidated Affiliates</t>
  </si>
  <si>
    <t>Other Long Term Liabilities</t>
  </si>
  <si>
    <t xml:space="preserve">   Cost of Goods Sold</t>
  </si>
  <si>
    <t>Additional Paid-In Capital</t>
  </si>
  <si>
    <t xml:space="preserve">       Deferred income taxes</t>
  </si>
  <si>
    <t xml:space="preserve">      Prepaid Expenses</t>
  </si>
  <si>
    <t xml:space="preserve">      Federal Income Taxes</t>
  </si>
  <si>
    <t xml:space="preserve">     Affiliated Company PPE Transfer</t>
  </si>
  <si>
    <t xml:space="preserve">     Equity Contribution</t>
  </si>
  <si>
    <t xml:space="preserve">     Change in notes receivable from Questar</t>
  </si>
  <si>
    <t xml:space="preserve">       Other</t>
  </si>
  <si>
    <t xml:space="preserve">      (Income) from Unconsolidated Affiliates</t>
  </si>
  <si>
    <t xml:space="preserve">     Other Investing Activities</t>
  </si>
  <si>
    <t xml:space="preserve">Regulatory and Other Noncurrent </t>
  </si>
  <si>
    <t>From Questar Gas</t>
  </si>
  <si>
    <t>Supplemental Information</t>
  </si>
  <si>
    <t xml:space="preserve">   Transportation</t>
  </si>
  <si>
    <t xml:space="preserve">   Storage</t>
  </si>
  <si>
    <t xml:space="preserve">   NGL Sales</t>
  </si>
  <si>
    <t xml:space="preserve">   Energy Services</t>
  </si>
  <si>
    <t xml:space="preserve">   Gas Processing</t>
  </si>
  <si>
    <t xml:space="preserve">   Other</t>
  </si>
  <si>
    <t>Total Revenue</t>
  </si>
  <si>
    <t>Operating Statistics</t>
  </si>
  <si>
    <t>Natural Gas Transportation Volumes (MMdth)</t>
  </si>
  <si>
    <t xml:space="preserve">   For Questar Gas</t>
  </si>
  <si>
    <t xml:space="preserve">   For Other Affiliated Customers</t>
  </si>
  <si>
    <t xml:space="preserve">   For Unaffiliated Customers</t>
  </si>
  <si>
    <t>Total Transportation</t>
  </si>
  <si>
    <t>Revenue Dollars</t>
  </si>
  <si>
    <t>Revenue Percent</t>
  </si>
  <si>
    <t>Natural Gas Transportation Volumes (%)</t>
  </si>
  <si>
    <t xml:space="preserve">    Impairment</t>
  </si>
  <si>
    <t>A</t>
  </si>
  <si>
    <t>Watch Pos</t>
  </si>
  <si>
    <t xml:space="preserve">      Regulatory Assets, Liabilities &amp; Other</t>
  </si>
  <si>
    <t>Transportation Revenue (per dth)</t>
  </si>
  <si>
    <t>Net Firm-Daily Transport Demand (Mdth)</t>
  </si>
  <si>
    <t>Natural Gas Processing</t>
  </si>
  <si>
    <t xml:space="preserve">     NGL Sales ((Mbbl)</t>
  </si>
  <si>
    <t xml:space="preserve">     NGL Sales Price (per bbl)</t>
  </si>
  <si>
    <t xml:space="preserve">Net cash provided by (used in) financing </t>
  </si>
  <si>
    <t xml:space="preserve">Cash and cash equivalents beginning </t>
  </si>
  <si>
    <t>Cash and cash equivalents ending</t>
  </si>
  <si>
    <t>Accumulated Other Income (Loss)</t>
  </si>
  <si>
    <t>% of Revenue from Questar Gas</t>
  </si>
  <si>
    <t>% of Volume from Questar Gas</t>
  </si>
  <si>
    <t>Unaffiliated Revenue / Volume</t>
  </si>
  <si>
    <t>Revenue from Questar Gas / Volume</t>
  </si>
  <si>
    <t xml:space="preserve">   Retirement Incentive</t>
  </si>
  <si>
    <t>Total Revenue / Total Volume</t>
  </si>
  <si>
    <t>5 Year</t>
  </si>
  <si>
    <t>Estimated Return on Common Equity before Imparement</t>
  </si>
  <si>
    <t>Dividends Payable to Questar</t>
  </si>
  <si>
    <t>Current Regulatory Liabilities</t>
  </si>
  <si>
    <t xml:space="preserve">       Asset Imparement</t>
  </si>
  <si>
    <t>1st Quarter</t>
  </si>
  <si>
    <t>Federal Income Tax Receivable</t>
  </si>
  <si>
    <t>Interest Payable</t>
  </si>
  <si>
    <t>2010 to 2015</t>
  </si>
  <si>
    <t>DPU Exhibit 1.4 DIR</t>
  </si>
  <si>
    <t>(Millions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</si>
</sst>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#,##0.000_);\(#,##0.000\)"/>
    <numFmt numFmtId="166" formatCode="0.0000%"/>
    <numFmt numFmtId="167" formatCode="[$-409]mmmm\ d\,\ yyyy;@"/>
    <numFmt numFmtId="168" formatCode="_(* #,##0_);_(* \(#,##0\);_(* &quot;-&quot;??_);_(@_)"/>
    <numFmt numFmtId="169" formatCode="&quot;$&quot;#,##0.0_);\(&quot;$&quot;#,##0.0\)"/>
    <numFmt numFmtId="170" formatCode="#,##0.0_);\(#,##0.0\)"/>
    <numFmt numFmtId="171" formatCode="0.0"/>
    <numFmt numFmtId="172" formatCode="0.0%"/>
    <numFmt numFmtId="173" formatCode="_(* #,##0.0_);_(* \(#,##0.0\);_(* &quot;-&quot;??_);_(@_)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19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0" fontId="6" fillId="2" borderId="0" xfId="8" applyFont="1" applyFill="1"/>
    <xf numFmtId="5" fontId="0" fillId="0" borderId="0" xfId="0" applyNumberFormat="1" applyFill="1"/>
    <xf numFmtId="5" fontId="5" fillId="3" borderId="0" xfId="2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right"/>
    </xf>
    <xf numFmtId="37" fontId="11" fillId="0" borderId="0" xfId="8" applyNumberFormat="1" applyFont="1" applyBorder="1" applyAlignment="1"/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10" fontId="11" fillId="2" borderId="0" xfId="9" applyFont="1"/>
    <xf numFmtId="37" fontId="11" fillId="3" borderId="0" xfId="8" quotePrefix="1" applyNumberFormat="1" applyFont="1" applyFill="1" applyBorder="1" applyAlignment="1">
      <alignment horizontal="left"/>
    </xf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7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5" fontId="11" fillId="0" borderId="0" xfId="0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5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10" fontId="11" fillId="2" borderId="8" xfId="0" applyNumberFormat="1" applyFont="1" applyFill="1" applyBorder="1"/>
    <xf numFmtId="0" fontId="10" fillId="3" borderId="0" xfId="0" applyFont="1" applyFill="1"/>
    <xf numFmtId="10" fontId="11" fillId="2" borderId="3" xfId="9" applyFont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168" fontId="11" fillId="2" borderId="0" xfId="11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166" fontId="3" fillId="2" borderId="0" xfId="0" applyNumberFormat="1" applyFont="1" applyFill="1"/>
    <xf numFmtId="169" fontId="11" fillId="2" borderId="0" xfId="0" applyNumberFormat="1" applyFont="1" applyFill="1"/>
    <xf numFmtId="170" fontId="11" fillId="0" borderId="0" xfId="8" applyNumberFormat="1" applyFont="1" applyFill="1" applyBorder="1" applyAlignment="1">
      <alignment horizontal="right"/>
    </xf>
    <xf numFmtId="170" fontId="11" fillId="2" borderId="0" xfId="8" applyNumberFormat="1" applyFont="1" applyFill="1" applyBorder="1" applyAlignment="1">
      <alignment horizontal="right"/>
    </xf>
    <xf numFmtId="170" fontId="11" fillId="2" borderId="4" xfId="8" applyNumberFormat="1" applyFont="1" applyFill="1" applyBorder="1" applyAlignment="1">
      <alignment horizontal="right"/>
    </xf>
    <xf numFmtId="37" fontId="11" fillId="0" borderId="0" xfId="8" applyNumberFormat="1" applyFont="1" applyBorder="1" applyAlignment="1">
      <alignment horizontal="left" vertical="center"/>
    </xf>
    <xf numFmtId="37" fontId="2" fillId="0" borderId="0" xfId="8" applyNumberFormat="1" applyFont="1" applyBorder="1" applyAlignment="1"/>
    <xf numFmtId="5" fontId="2" fillId="2" borderId="0" xfId="0" applyNumberFormat="1" applyFont="1" applyFill="1"/>
    <xf numFmtId="171" fontId="11" fillId="2" borderId="0" xfId="0" applyNumberFormat="1" applyFont="1" applyFill="1"/>
    <xf numFmtId="171" fontId="11" fillId="2" borderId="3" xfId="0" applyNumberFormat="1" applyFont="1" applyFill="1" applyBorder="1"/>
    <xf numFmtId="172" fontId="11" fillId="2" borderId="0" xfId="9" applyNumberFormat="1" applyFont="1"/>
    <xf numFmtId="172" fontId="11" fillId="2" borderId="0" xfId="0" applyNumberFormat="1" applyFont="1" applyFill="1"/>
    <xf numFmtId="10" fontId="2" fillId="2" borderId="0" xfId="0" quotePrefix="1" applyNumberFormat="1" applyFont="1" applyFill="1" applyAlignment="1">
      <alignment horizontal="right"/>
    </xf>
    <xf numFmtId="10" fontId="11" fillId="4" borderId="0" xfId="0" applyNumberFormat="1" applyFont="1" applyFill="1"/>
    <xf numFmtId="170" fontId="11" fillId="2" borderId="0" xfId="0" applyNumberFormat="1" applyFont="1" applyFill="1"/>
    <xf numFmtId="170" fontId="11" fillId="2" borderId="0" xfId="9" applyNumberFormat="1" applyFont="1"/>
    <xf numFmtId="5" fontId="0" fillId="2" borderId="0" xfId="0" applyNumberFormat="1" applyFill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70" fontId="11" fillId="0" borderId="0" xfId="2" applyNumberFormat="1" applyFont="1" applyFill="1" applyBorder="1"/>
    <xf numFmtId="170" fontId="11" fillId="0" borderId="4" xfId="2" applyNumberFormat="1" applyFont="1" applyFill="1" applyBorder="1"/>
    <xf numFmtId="10" fontId="17" fillId="2" borderId="0" xfId="0" quotePrefix="1" applyNumberFormat="1" applyFont="1" applyFill="1" applyAlignment="1">
      <alignment horizontal="right"/>
    </xf>
    <xf numFmtId="10" fontId="17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horizontal="right"/>
    </xf>
    <xf numFmtId="16" fontId="2" fillId="0" borderId="0" xfId="8" applyNumberFormat="1" applyFont="1" applyFill="1" applyBorder="1" applyAlignment="1">
      <alignment horizontal="right"/>
    </xf>
    <xf numFmtId="10" fontId="17" fillId="0" borderId="0" xfId="0" quotePrefix="1" applyNumberFormat="1" applyFont="1" applyFill="1" applyAlignment="1">
      <alignment horizontal="right"/>
    </xf>
    <xf numFmtId="43" fontId="11" fillId="2" borderId="0" xfId="11" applyFont="1" applyFill="1"/>
    <xf numFmtId="10" fontId="11" fillId="0" borderId="0" xfId="9" applyFont="1" applyFill="1"/>
    <xf numFmtId="168" fontId="11" fillId="2" borderId="4" xfId="11" applyNumberFormat="1" applyFont="1" applyFill="1" applyBorder="1"/>
    <xf numFmtId="168" fontId="11" fillId="2" borderId="0" xfId="11" applyNumberFormat="1" applyFont="1" applyFill="1" applyAlignment="1">
      <alignment horizontal="right"/>
    </xf>
    <xf numFmtId="168" fontId="11" fillId="2" borderId="5" xfId="11" applyNumberFormat="1" applyFont="1" applyFill="1" applyBorder="1"/>
    <xf numFmtId="168" fontId="11" fillId="2" borderId="0" xfId="11" applyNumberFormat="1" applyFont="1" applyFill="1" applyBorder="1"/>
    <xf numFmtId="168" fontId="11" fillId="2" borderId="6" xfId="11" applyNumberFormat="1" applyFont="1" applyFill="1" applyBorder="1"/>
    <xf numFmtId="168" fontId="11" fillId="2" borderId="3" xfId="11" applyNumberFormat="1" applyFont="1" applyFill="1" applyBorder="1"/>
    <xf numFmtId="168" fontId="11" fillId="4" borderId="0" xfId="11" applyNumberFormat="1" applyFont="1" applyFill="1"/>
    <xf numFmtId="37" fontId="11" fillId="2" borderId="0" xfId="8" applyNumberFormat="1" applyFont="1" applyFill="1" applyBorder="1" applyAlignment="1"/>
    <xf numFmtId="37" fontId="11" fillId="0" borderId="3" xfId="8" applyNumberFormat="1" applyFont="1" applyBorder="1" applyAlignment="1">
      <alignment horizontal="right"/>
    </xf>
    <xf numFmtId="37" fontId="11" fillId="2" borderId="4" xfId="11" applyNumberFormat="1" applyFont="1" applyFill="1" applyBorder="1" applyAlignment="1">
      <alignment horizontal="right"/>
    </xf>
    <xf numFmtId="37" fontId="11" fillId="2" borderId="0" xfId="11" applyNumberFormat="1" applyFont="1" applyFill="1" applyBorder="1" applyAlignment="1">
      <alignment horizontal="right"/>
    </xf>
    <xf numFmtId="37" fontId="11" fillId="2" borderId="5" xfId="11" applyNumberFormat="1" applyFont="1" applyFill="1" applyBorder="1"/>
    <xf numFmtId="37" fontId="11" fillId="0" borderId="0" xfId="0" applyNumberFormat="1" applyFont="1" applyFill="1" applyBorder="1"/>
    <xf numFmtId="37" fontId="11" fillId="0" borderId="4" xfId="2" applyNumberFormat="1" applyFont="1" applyFill="1" applyBorder="1"/>
    <xf numFmtId="37" fontId="11" fillId="0" borderId="0" xfId="2" applyNumberFormat="1" applyFont="1" applyFill="1" applyBorder="1"/>
    <xf numFmtId="16" fontId="18" fillId="2" borderId="0" xfId="0" applyNumberFormat="1" applyFont="1" applyFill="1" applyAlignment="1">
      <alignment horizontal="right"/>
    </xf>
    <xf numFmtId="37" fontId="11" fillId="3" borderId="0" xfId="8" applyNumberFormat="1" applyFont="1" applyFill="1" applyBorder="1" applyAlignment="1">
      <alignment horizontal="left"/>
    </xf>
    <xf numFmtId="0" fontId="18" fillId="0" borderId="0" xfId="8" applyNumberFormat="1" applyFont="1" applyFill="1" applyBorder="1" applyAlignment="1">
      <alignment horizontal="right"/>
    </xf>
    <xf numFmtId="5" fontId="12" fillId="2" borderId="0" xfId="0" applyNumberFormat="1" applyFont="1" applyFill="1" applyAlignment="1"/>
    <xf numFmtId="5" fontId="2" fillId="2" borderId="0" xfId="0" applyNumberFormat="1" applyFont="1" applyFill="1" applyAlignment="1"/>
    <xf numFmtId="10" fontId="18" fillId="2" borderId="0" xfId="0" quotePrefix="1" applyNumberFormat="1" applyFont="1" applyFill="1" applyAlignment="1">
      <alignment horizontal="right"/>
    </xf>
    <xf numFmtId="16" fontId="13" fillId="2" borderId="0" xfId="0" applyNumberFormat="1" applyFont="1" applyFill="1" applyAlignment="1">
      <alignment horizontal="right"/>
    </xf>
    <xf numFmtId="10" fontId="11" fillId="2" borderId="9" xfId="0" applyNumberFormat="1" applyFont="1" applyFill="1" applyBorder="1"/>
    <xf numFmtId="37" fontId="11" fillId="0" borderId="6" xfId="2" applyNumberFormat="1" applyFont="1" applyFill="1" applyBorder="1"/>
    <xf numFmtId="10" fontId="6" fillId="2" borderId="0" xfId="9"/>
    <xf numFmtId="10" fontId="11" fillId="0" borderId="0" xfId="0" applyNumberFormat="1" applyFont="1" applyFill="1"/>
    <xf numFmtId="16" fontId="13" fillId="0" borderId="0" xfId="8" applyNumberFormat="1" applyFont="1" applyFill="1" applyBorder="1" applyAlignment="1">
      <alignment horizontal="right"/>
    </xf>
    <xf numFmtId="10" fontId="13" fillId="4" borderId="0" xfId="0" applyNumberFormat="1" applyFont="1" applyFill="1" applyAlignment="1">
      <alignment horizontal="right"/>
    </xf>
    <xf numFmtId="10" fontId="17" fillId="4" borderId="2" xfId="0" applyNumberFormat="1" applyFont="1" applyFill="1" applyBorder="1" applyAlignment="1">
      <alignment horizontal="right"/>
    </xf>
    <xf numFmtId="10" fontId="17" fillId="4" borderId="0" xfId="0" quotePrefix="1" applyNumberFormat="1" applyFont="1" applyFill="1" applyAlignment="1">
      <alignment horizontal="right"/>
    </xf>
    <xf numFmtId="168" fontId="11" fillId="0" borderId="0" xfId="11" applyNumberFormat="1" applyFont="1" applyFill="1"/>
    <xf numFmtId="5" fontId="11" fillId="0" borderId="0" xfId="0" applyNumberFormat="1" applyFont="1" applyFill="1"/>
    <xf numFmtId="10" fontId="11" fillId="0" borderId="0" xfId="0" applyNumberFormat="1" applyFont="1" applyFill="1" applyBorder="1"/>
    <xf numFmtId="5" fontId="3" fillId="0" borderId="0" xfId="0" applyNumberFormat="1" applyFont="1" applyFill="1"/>
    <xf numFmtId="10" fontId="11" fillId="0" borderId="3" xfId="0" applyNumberFormat="1" applyFont="1" applyFill="1" applyBorder="1"/>
    <xf numFmtId="10" fontId="11" fillId="0" borderId="2" xfId="0" applyNumberFormat="1" applyFont="1" applyFill="1" applyBorder="1"/>
    <xf numFmtId="5" fontId="10" fillId="0" borderId="0" xfId="0" applyNumberFormat="1" applyFont="1" applyFill="1"/>
    <xf numFmtId="37" fontId="3" fillId="0" borderId="0" xfId="9" applyNumberFormat="1" applyFont="1" applyFill="1"/>
    <xf numFmtId="0" fontId="11" fillId="0" borderId="0" xfId="0" quotePrefix="1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5" fontId="0" fillId="0" borderId="0" xfId="0" applyNumberFormat="1" applyFill="1" applyBorder="1"/>
    <xf numFmtId="10" fontId="11" fillId="0" borderId="8" xfId="0" applyNumberFormat="1" applyFont="1" applyFill="1" applyBorder="1"/>
    <xf numFmtId="10" fontId="11" fillId="0" borderId="4" xfId="0" applyNumberFormat="1" applyFont="1" applyFill="1" applyBorder="1"/>
    <xf numFmtId="5" fontId="3" fillId="0" borderId="0" xfId="0" applyNumberFormat="1" applyFont="1" applyFill="1" applyBorder="1"/>
    <xf numFmtId="172" fontId="11" fillId="0" borderId="0" xfId="9" applyNumberFormat="1" applyFont="1" applyFill="1"/>
    <xf numFmtId="172" fontId="11" fillId="0" borderId="0" xfId="0" applyNumberFormat="1" applyFont="1" applyFill="1"/>
    <xf numFmtId="172" fontId="11" fillId="0" borderId="3" xfId="9" applyNumberFormat="1" applyFont="1" applyFill="1" applyBorder="1"/>
    <xf numFmtId="172" fontId="11" fillId="0" borderId="3" xfId="0" applyNumberFormat="1" applyFont="1" applyFill="1" applyBorder="1"/>
    <xf numFmtId="2" fontId="11" fillId="0" borderId="0" xfId="0" applyNumberFormat="1" applyFont="1" applyFill="1"/>
    <xf numFmtId="164" fontId="6" fillId="0" borderId="0" xfId="9" applyNumberFormat="1" applyFill="1"/>
    <xf numFmtId="5" fontId="14" fillId="0" borderId="0" xfId="0" applyNumberFormat="1" applyFont="1" applyFill="1"/>
    <xf numFmtId="5" fontId="2" fillId="0" borderId="0" xfId="0" applyNumberFormat="1" applyFont="1" applyFill="1"/>
    <xf numFmtId="171" fontId="11" fillId="0" borderId="0" xfId="0" applyNumberFormat="1" applyFont="1" applyFill="1"/>
    <xf numFmtId="171" fontId="11" fillId="0" borderId="3" xfId="0" applyNumberFormat="1" applyFont="1" applyFill="1" applyBorder="1"/>
    <xf numFmtId="168" fontId="11" fillId="0" borderId="3" xfId="11" applyNumberFormat="1" applyFont="1" applyFill="1" applyBorder="1"/>
    <xf numFmtId="5" fontId="11" fillId="0" borderId="0" xfId="0" applyNumberFormat="1" applyFont="1" applyFill="1" applyAlignment="1">
      <alignment horizontal="right"/>
    </xf>
    <xf numFmtId="43" fontId="11" fillId="0" borderId="0" xfId="11" applyFont="1" applyFill="1"/>
    <xf numFmtId="39" fontId="11" fillId="0" borderId="0" xfId="0" applyNumberFormat="1" applyFont="1" applyFill="1"/>
    <xf numFmtId="43" fontId="11" fillId="0" borderId="0" xfId="0" applyNumberFormat="1" applyFont="1" applyFill="1"/>
    <xf numFmtId="173" fontId="11" fillId="2" borderId="0" xfId="11" applyNumberFormat="1" applyFont="1" applyFill="1"/>
    <xf numFmtId="173" fontId="11" fillId="2" borderId="4" xfId="11" applyNumberFormat="1" applyFont="1" applyFill="1" applyBorder="1"/>
    <xf numFmtId="173" fontId="11" fillId="2" borderId="0" xfId="0" applyNumberFormat="1" applyFont="1" applyFill="1"/>
    <xf numFmtId="173" fontId="11" fillId="2" borderId="0" xfId="11" applyNumberFormat="1" applyFont="1" applyFill="1" applyAlignment="1">
      <alignment horizontal="right"/>
    </xf>
    <xf numFmtId="173" fontId="11" fillId="2" borderId="5" xfId="11" applyNumberFormat="1" applyFont="1" applyFill="1" applyBorder="1"/>
    <xf numFmtId="173" fontId="11" fillId="2" borderId="0" xfId="9" applyNumberFormat="1" applyFont="1"/>
    <xf numFmtId="173" fontId="11" fillId="2" borderId="0" xfId="11" applyNumberFormat="1" applyFont="1" applyFill="1" applyBorder="1"/>
    <xf numFmtId="173" fontId="11" fillId="0" borderId="0" xfId="11" applyNumberFormat="1" applyFont="1" applyFill="1"/>
    <xf numFmtId="173" fontId="11" fillId="2" borderId="6" xfId="11" applyNumberFormat="1" applyFont="1" applyFill="1" applyBorder="1"/>
    <xf numFmtId="170" fontId="11" fillId="0" borderId="0" xfId="0" applyNumberFormat="1" applyFont="1" applyFill="1" applyBorder="1"/>
    <xf numFmtId="170" fontId="3" fillId="0" borderId="0" xfId="9" applyNumberFormat="1" applyFont="1" applyFill="1"/>
    <xf numFmtId="170" fontId="11" fillId="0" borderId="6" xfId="2" applyNumberFormat="1" applyFont="1" applyFill="1" applyBorder="1"/>
    <xf numFmtId="170" fontId="3" fillId="2" borderId="0" xfId="9" applyNumberFormat="1" applyFont="1"/>
    <xf numFmtId="170" fontId="11" fillId="0" borderId="0" xfId="8" applyNumberFormat="1" applyFont="1" applyBorder="1" applyAlignment="1">
      <alignment horizontal="right"/>
    </xf>
    <xf numFmtId="170" fontId="11" fillId="2" borderId="0" xfId="8" applyNumberFormat="1" applyFont="1" applyFill="1" applyBorder="1" applyAlignment="1"/>
    <xf numFmtId="170" fontId="11" fillId="0" borderId="4" xfId="8" applyNumberFormat="1" applyFont="1" applyBorder="1" applyAlignment="1">
      <alignment horizontal="right"/>
    </xf>
    <xf numFmtId="170" fontId="11" fillId="0" borderId="3" xfId="8" applyNumberFormat="1" applyFont="1" applyBorder="1" applyAlignment="1">
      <alignment horizontal="right"/>
    </xf>
    <xf numFmtId="170" fontId="11" fillId="3" borderId="4" xfId="8" applyNumberFormat="1" applyFont="1" applyFill="1" applyBorder="1" applyAlignment="1">
      <alignment horizontal="right"/>
    </xf>
    <xf numFmtId="170" fontId="11" fillId="2" borderId="4" xfId="11" applyNumberFormat="1" applyFont="1" applyFill="1" applyBorder="1" applyAlignment="1">
      <alignment horizontal="right"/>
    </xf>
    <xf numFmtId="170" fontId="11" fillId="2" borderId="0" xfId="11" applyNumberFormat="1" applyFont="1" applyFill="1" applyBorder="1" applyAlignment="1">
      <alignment horizontal="right"/>
    </xf>
    <xf numFmtId="173" fontId="11" fillId="2" borderId="3" xfId="11" applyNumberFormat="1" applyFont="1" applyFill="1" applyBorder="1"/>
    <xf numFmtId="5" fontId="18" fillId="2" borderId="3" xfId="0" applyNumberFormat="1" applyFont="1" applyFill="1" applyBorder="1"/>
    <xf numFmtId="5" fontId="12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  <xf numFmtId="167" fontId="10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5" fontId="12" fillId="2" borderId="0" xfId="8" applyNumberFormat="1" applyFont="1" applyFill="1" applyAlignment="1">
      <alignment horizontal="center"/>
    </xf>
    <xf numFmtId="0" fontId="10" fillId="2" borderId="0" xfId="8" applyFont="1" applyFill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view="pageBreakPreview" topLeftCell="J119" zoomScaleNormal="100" zoomScaleSheetLayoutView="100" workbookViewId="0">
      <selection activeCell="AG127" sqref="AG127"/>
    </sheetView>
  </sheetViews>
  <sheetFormatPr defaultColWidth="13.7109375" defaultRowHeight="12.75" x14ac:dyDescent="0.2"/>
  <cols>
    <col min="1" max="1" width="37.28515625" customWidth="1"/>
    <col min="2" max="2" width="12.7109375" hidden="1" customWidth="1"/>
    <col min="3" max="8" width="12.7109375" customWidth="1"/>
    <col min="9" max="9" width="12.7109375" hidden="1" customWidth="1"/>
    <col min="10" max="10" width="12.7109375" style="1" customWidth="1"/>
    <col min="11" max="11" width="37.28515625" customWidth="1"/>
    <col min="12" max="22" width="10.7109375" hidden="1" customWidth="1"/>
    <col min="23" max="28" width="10.7109375" customWidth="1"/>
    <col min="29" max="29" width="10.7109375" hidden="1" customWidth="1"/>
    <col min="30" max="30" width="11.42578125" customWidth="1"/>
    <col min="31" max="32" width="12.7109375" customWidth="1"/>
  </cols>
  <sheetData>
    <row r="1" spans="1:31" ht="15.75" x14ac:dyDescent="0.25">
      <c r="A1" s="64"/>
      <c r="B1" s="64"/>
      <c r="C1" s="64"/>
      <c r="D1" s="64"/>
      <c r="E1" s="64"/>
      <c r="F1" s="64"/>
      <c r="G1" s="64"/>
      <c r="H1" s="64"/>
      <c r="I1" s="64"/>
      <c r="J1" s="12" t="s">
        <v>203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53" t="str">
        <f>+J1</f>
        <v>DPU Exhibit 1.4 DIR</v>
      </c>
      <c r="AE1" s="11"/>
    </row>
    <row r="2" spans="1:31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91" t="s">
        <v>113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1"/>
      <c r="AE2" s="2"/>
    </row>
    <row r="3" spans="1:31" ht="20.25" x14ac:dyDescent="0.3">
      <c r="A3" s="189" t="s">
        <v>132</v>
      </c>
      <c r="B3" s="189"/>
      <c r="C3" s="189"/>
      <c r="D3" s="189"/>
      <c r="E3" s="189"/>
      <c r="F3" s="189"/>
      <c r="G3" s="189"/>
      <c r="H3" s="189"/>
      <c r="I3" s="189"/>
      <c r="J3" s="189"/>
      <c r="K3" s="189" t="str">
        <f>A3</f>
        <v>Questar Pipeline Company</v>
      </c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2"/>
    </row>
    <row r="4" spans="1:31" ht="15.75" x14ac:dyDescent="0.25">
      <c r="A4" s="190" t="s">
        <v>47</v>
      </c>
      <c r="B4" s="190"/>
      <c r="C4" s="190"/>
      <c r="D4" s="190"/>
      <c r="E4" s="190"/>
      <c r="F4" s="190"/>
      <c r="G4" s="190"/>
      <c r="H4" s="190"/>
      <c r="I4" s="190"/>
      <c r="J4" s="190"/>
      <c r="K4" s="190" t="s">
        <v>46</v>
      </c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2"/>
    </row>
    <row r="5" spans="1:31" ht="15.75" x14ac:dyDescent="0.25">
      <c r="A5" s="191" t="s">
        <v>104</v>
      </c>
      <c r="B5" s="191"/>
      <c r="C5" s="191"/>
      <c r="D5" s="191"/>
      <c r="E5" s="191"/>
      <c r="F5" s="191"/>
      <c r="G5" s="191"/>
      <c r="H5" s="191"/>
      <c r="I5" s="191"/>
      <c r="J5" s="191"/>
      <c r="K5" s="190" t="s">
        <v>47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4"/>
    </row>
    <row r="6" spans="1:31" ht="15.75" hidden="1" x14ac:dyDescent="0.25">
      <c r="A6" s="34"/>
      <c r="B6" s="31"/>
      <c r="C6" s="31"/>
      <c r="D6" s="31"/>
      <c r="E6" s="31"/>
      <c r="F6" s="31"/>
      <c r="G6" s="31"/>
      <c r="H6" s="31"/>
      <c r="I6" s="31"/>
      <c r="J6" s="4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48"/>
      <c r="AE6" s="2"/>
    </row>
    <row r="7" spans="1:31" ht="15.75" x14ac:dyDescent="0.25">
      <c r="A7" s="85" t="s">
        <v>204</v>
      </c>
      <c r="B7" s="31"/>
      <c r="C7" s="31"/>
      <c r="D7" s="31"/>
      <c r="E7" s="31"/>
      <c r="F7" s="31"/>
      <c r="G7" s="31"/>
      <c r="H7" s="31"/>
      <c r="I7" s="31"/>
      <c r="J7" s="103" t="s">
        <v>202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  <c r="AE7" s="2"/>
    </row>
    <row r="8" spans="1:31" ht="15.75" x14ac:dyDescent="0.25">
      <c r="A8" s="49"/>
      <c r="B8" s="77"/>
      <c r="C8" s="77"/>
      <c r="D8" s="77"/>
      <c r="E8" s="77"/>
      <c r="F8" s="121"/>
      <c r="G8" s="121"/>
      <c r="H8" s="121"/>
      <c r="I8" s="121" t="s">
        <v>199</v>
      </c>
      <c r="J8" s="101" t="s">
        <v>3</v>
      </c>
      <c r="K8" s="49"/>
      <c r="L8" s="49"/>
      <c r="M8" s="49"/>
      <c r="N8" s="49"/>
      <c r="O8" s="49"/>
      <c r="P8" s="49"/>
      <c r="Q8" s="49"/>
      <c r="R8" s="51"/>
      <c r="S8" s="51"/>
      <c r="T8" s="51"/>
      <c r="U8" s="54"/>
      <c r="V8" s="54"/>
      <c r="W8" s="54"/>
      <c r="X8" s="54"/>
      <c r="Y8" s="52"/>
      <c r="Z8" s="121"/>
      <c r="AA8" s="127"/>
      <c r="AB8" s="127"/>
      <c r="AC8" s="127" t="str">
        <f>+I8</f>
        <v>1st Quarter</v>
      </c>
      <c r="AD8" s="133" t="s">
        <v>194</v>
      </c>
      <c r="AE8" s="2"/>
    </row>
    <row r="9" spans="1:31" ht="15.75" x14ac:dyDescent="0.25">
      <c r="A9" s="55" t="s">
        <v>0</v>
      </c>
      <c r="B9" s="55">
        <f>+C9-1</f>
        <v>2009</v>
      </c>
      <c r="C9" s="55">
        <v>2010</v>
      </c>
      <c r="D9" s="55">
        <v>2011</v>
      </c>
      <c r="E9" s="55">
        <v>2012</v>
      </c>
      <c r="F9" s="55">
        <f>+E9+1</f>
        <v>2013</v>
      </c>
      <c r="G9" s="55">
        <f>+F9+1</f>
        <v>2014</v>
      </c>
      <c r="H9" s="55">
        <f>+G9+1</f>
        <v>2015</v>
      </c>
      <c r="I9" s="55">
        <f>+H9+1</f>
        <v>2016</v>
      </c>
      <c r="J9" s="100" t="s">
        <v>25</v>
      </c>
      <c r="K9" s="56" t="s">
        <v>0</v>
      </c>
      <c r="L9" s="55" t="e">
        <f>#REF!</f>
        <v>#REF!</v>
      </c>
      <c r="M9" s="55" t="e">
        <f t="shared" ref="M9:T9" si="0">L9+1</f>
        <v>#REF!</v>
      </c>
      <c r="N9" s="55" t="e">
        <f t="shared" si="0"/>
        <v>#REF!</v>
      </c>
      <c r="O9" s="55" t="e">
        <f t="shared" si="0"/>
        <v>#REF!</v>
      </c>
      <c r="P9" s="55" t="e">
        <f t="shared" si="0"/>
        <v>#REF!</v>
      </c>
      <c r="Q9" s="55" t="e">
        <f t="shared" si="0"/>
        <v>#REF!</v>
      </c>
      <c r="R9" s="55" t="e">
        <f t="shared" si="0"/>
        <v>#REF!</v>
      </c>
      <c r="S9" s="55" t="e">
        <f t="shared" si="0"/>
        <v>#REF!</v>
      </c>
      <c r="T9" s="55" t="e">
        <f t="shared" si="0"/>
        <v>#REF!</v>
      </c>
      <c r="U9" s="55" t="e">
        <f>T9+1</f>
        <v>#REF!</v>
      </c>
      <c r="V9" s="55">
        <f t="shared" ref="V9:AB9" si="1">+B9</f>
        <v>2009</v>
      </c>
      <c r="W9" s="55">
        <f t="shared" si="1"/>
        <v>2010</v>
      </c>
      <c r="X9" s="55">
        <f t="shared" si="1"/>
        <v>2011</v>
      </c>
      <c r="Y9" s="55">
        <f t="shared" si="1"/>
        <v>2012</v>
      </c>
      <c r="Z9" s="55">
        <f t="shared" si="1"/>
        <v>2013</v>
      </c>
      <c r="AA9" s="55">
        <f t="shared" si="1"/>
        <v>2014</v>
      </c>
      <c r="AB9" s="55">
        <f t="shared" si="1"/>
        <v>2015</v>
      </c>
      <c r="AC9" s="55">
        <f>+I9</f>
        <v>2016</v>
      </c>
      <c r="AD9" s="134" t="s">
        <v>45</v>
      </c>
      <c r="AE9" s="2"/>
    </row>
    <row r="10" spans="1:31" ht="12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2"/>
    </row>
    <row r="11" spans="1:31" ht="15.75" x14ac:dyDescent="0.25">
      <c r="A11" s="61" t="s">
        <v>7</v>
      </c>
      <c r="B11" s="80"/>
      <c r="C11" s="80"/>
      <c r="D11" s="80"/>
      <c r="E11" s="80"/>
      <c r="F11" s="80"/>
      <c r="G11" s="80"/>
      <c r="H11" s="80"/>
      <c r="I11" s="80"/>
      <c r="J11" s="21"/>
      <c r="K11" s="49" t="s">
        <v>7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21"/>
      <c r="AE11" s="2"/>
    </row>
    <row r="12" spans="1:31" ht="15" x14ac:dyDescent="0.2">
      <c r="A12" s="37" t="s">
        <v>4</v>
      </c>
      <c r="B12" s="167">
        <v>3.8</v>
      </c>
      <c r="C12" s="167">
        <v>5.3</v>
      </c>
      <c r="D12" s="167">
        <v>3.4</v>
      </c>
      <c r="E12" s="167">
        <v>7.1</v>
      </c>
      <c r="F12" s="167">
        <v>2.7</v>
      </c>
      <c r="G12" s="167">
        <v>7.4</v>
      </c>
      <c r="H12" s="167">
        <v>10.199999999999999</v>
      </c>
      <c r="I12" s="75"/>
      <c r="J12" s="21">
        <f>RATE(5,,-C12,H12)</f>
        <v>0.13989503082861213</v>
      </c>
      <c r="K12" s="37" t="str">
        <f>A12</f>
        <v>Cash &amp; Equivalents</v>
      </c>
      <c r="L12" s="21" t="e">
        <f>#REF!/#REF!</f>
        <v>#REF!</v>
      </c>
      <c r="M12" s="21" t="e">
        <f>#REF!/#REF!</f>
        <v>#REF!</v>
      </c>
      <c r="N12" s="21" t="e">
        <f>#REF!/#REF!</f>
        <v>#REF!</v>
      </c>
      <c r="O12" s="21" t="e">
        <f>#REF!/#REF!</f>
        <v>#REF!</v>
      </c>
      <c r="P12" s="21" t="e">
        <f>#REF!/#REF!</f>
        <v>#REF!</v>
      </c>
      <c r="Q12" s="21" t="e">
        <f>#REF!/#REF!</f>
        <v>#REF!</v>
      </c>
      <c r="R12" s="21" t="e">
        <f>#REF!/#REF!</f>
        <v>#REF!</v>
      </c>
      <c r="S12" s="21" t="e">
        <f>#REF!/#REF!</f>
        <v>#REF!</v>
      </c>
      <c r="T12" s="21" t="e">
        <f>#REF!/#REF!</f>
        <v>#REF!</v>
      </c>
      <c r="U12" s="21" t="e">
        <f>#REF!/#REF!</f>
        <v>#REF!</v>
      </c>
      <c r="V12" s="21">
        <f t="shared" ref="V12:AB13" si="2">B12/B$41</f>
        <v>3.1050825298251355E-3</v>
      </c>
      <c r="W12" s="21">
        <f t="shared" si="2"/>
        <v>4.0977269212927169E-3</v>
      </c>
      <c r="X12" s="21">
        <f t="shared" si="2"/>
        <v>2.584372149589541E-3</v>
      </c>
      <c r="Y12" s="21">
        <f t="shared" si="2"/>
        <v>5.2010841696578996E-3</v>
      </c>
      <c r="Z12" s="21">
        <f t="shared" si="2"/>
        <v>2.0902686382286914E-3</v>
      </c>
      <c r="AA12" s="21">
        <f t="shared" si="2"/>
        <v>5.6415338873217948E-3</v>
      </c>
      <c r="AB12" s="21">
        <f t="shared" si="2"/>
        <v>7.949497311199441E-3</v>
      </c>
      <c r="AC12" s="21" t="e">
        <f>I12/I$41</f>
        <v>#DIV/0!</v>
      </c>
      <c r="AD12" s="92">
        <f>SUM(C12:G12)/SUM(C$41:G$41)</f>
        <v>3.9376662865830483E-3</v>
      </c>
      <c r="AE12" s="79" t="e">
        <f>(+V12+U12+T12+S12+R12+Q12)/6</f>
        <v>#REF!</v>
      </c>
    </row>
    <row r="13" spans="1:31" ht="15" x14ac:dyDescent="0.2">
      <c r="A13" s="41" t="s">
        <v>102</v>
      </c>
      <c r="B13" s="167">
        <v>17.100000000000001</v>
      </c>
      <c r="C13" s="167">
        <v>19.100000000000001</v>
      </c>
      <c r="D13" s="167">
        <v>19.100000000000001</v>
      </c>
      <c r="E13" s="167">
        <v>19.100000000000001</v>
      </c>
      <c r="F13" s="167">
        <v>18.5</v>
      </c>
      <c r="G13" s="167">
        <v>17.2</v>
      </c>
      <c r="H13" s="167">
        <v>21.2</v>
      </c>
      <c r="I13" s="75"/>
      <c r="J13" s="21">
        <f t="shared" ref="J13:J16" si="3">RATE(5,,-C13,H13)</f>
        <v>2.1081714051131725E-2</v>
      </c>
      <c r="K13" s="37" t="str">
        <f>A13</f>
        <v>Accounts Receivable, net</v>
      </c>
      <c r="L13" s="21" t="e">
        <f>#REF!/#REF!</f>
        <v>#REF!</v>
      </c>
      <c r="M13" s="21" t="e">
        <f>#REF!/#REF!</f>
        <v>#REF!</v>
      </c>
      <c r="N13" s="21" t="e">
        <f>#REF!/#REF!</f>
        <v>#REF!</v>
      </c>
      <c r="O13" s="21" t="e">
        <f>#REF!/#REF!</f>
        <v>#REF!</v>
      </c>
      <c r="P13" s="21" t="e">
        <f>#REF!/#REF!</f>
        <v>#REF!</v>
      </c>
      <c r="Q13" s="21" t="e">
        <f>#REF!/#REF!</f>
        <v>#REF!</v>
      </c>
      <c r="R13" s="21" t="e">
        <f>#REF!/#REF!</f>
        <v>#REF!</v>
      </c>
      <c r="S13" s="21" t="e">
        <f>#REF!/#REF!</f>
        <v>#REF!</v>
      </c>
      <c r="T13" s="21" t="e">
        <f>#REF!/#REF!</f>
        <v>#REF!</v>
      </c>
      <c r="U13" s="21" t="e">
        <f>#REF!/#REF!</f>
        <v>#REF!</v>
      </c>
      <c r="V13" s="21">
        <f t="shared" si="2"/>
        <v>1.3972871384213111E-2</v>
      </c>
      <c r="W13" s="21">
        <f t="shared" si="2"/>
        <v>1.4767280037111492E-2</v>
      </c>
      <c r="X13" s="21">
        <f t="shared" si="2"/>
        <v>1.451809060504713E-2</v>
      </c>
      <c r="Y13" s="21">
        <f t="shared" si="2"/>
        <v>1.3991648963445902E-2</v>
      </c>
      <c r="Z13" s="21">
        <f t="shared" si="2"/>
        <v>1.4322211039715106E-2</v>
      </c>
      <c r="AA13" s="21">
        <f t="shared" si="2"/>
        <v>1.311275444080201E-2</v>
      </c>
      <c r="AB13" s="21">
        <f t="shared" si="2"/>
        <v>1.6522484607590995E-2</v>
      </c>
      <c r="AC13" s="21" t="e">
        <f>I13/I$41</f>
        <v>#DIV/0!</v>
      </c>
      <c r="AD13" s="92">
        <f t="shared" ref="AD13:AD18" si="4">SUM(C13:G13)/SUM(C$41:G$41)</f>
        <v>1.4139110604332955E-2</v>
      </c>
      <c r="AE13" s="2"/>
    </row>
    <row r="14" spans="1:31" ht="15" x14ac:dyDescent="0.2">
      <c r="A14" s="46" t="s">
        <v>137</v>
      </c>
      <c r="B14" s="167">
        <v>16.2</v>
      </c>
      <c r="C14" s="167">
        <v>16.2</v>
      </c>
      <c r="D14" s="167">
        <v>20.2</v>
      </c>
      <c r="E14" s="167">
        <v>27.5</v>
      </c>
      <c r="F14" s="167">
        <v>36.6</v>
      </c>
      <c r="G14" s="167">
        <v>39.200000000000003</v>
      </c>
      <c r="H14" s="167">
        <v>49.8</v>
      </c>
      <c r="I14" s="75"/>
      <c r="J14" s="21">
        <f t="shared" si="3"/>
        <v>0.25182282408873069</v>
      </c>
      <c r="K14" s="37" t="str">
        <f>+A14</f>
        <v>Accounts Receivable Affiliates</v>
      </c>
      <c r="L14" s="21"/>
      <c r="M14" s="21"/>
      <c r="N14" s="21"/>
      <c r="O14" s="21"/>
      <c r="P14" s="21"/>
      <c r="Q14" s="21" t="e">
        <f>#REF!/#REF!</f>
        <v>#REF!</v>
      </c>
      <c r="R14" s="21" t="e">
        <f>#REF!/#REF!</f>
        <v>#REF!</v>
      </c>
      <c r="S14" s="21" t="e">
        <f>#REF!/#REF!</f>
        <v>#REF!</v>
      </c>
      <c r="T14" s="21" t="e">
        <f>#REF!/#REF!</f>
        <v>#REF!</v>
      </c>
      <c r="U14" s="21" t="e">
        <f>#REF!/#REF!</f>
        <v>#REF!</v>
      </c>
      <c r="V14" s="21">
        <f t="shared" ref="V14:AB16" si="5">B14/B$41</f>
        <v>1.3237457100833471E-2</v>
      </c>
      <c r="W14" s="21">
        <f t="shared" si="5"/>
        <v>1.2525127570743777E-2</v>
      </c>
      <c r="X14" s="21">
        <f t="shared" si="5"/>
        <v>1.535421100638492E-2</v>
      </c>
      <c r="Y14" s="21">
        <f t="shared" si="5"/>
        <v>2.0145044319097499E-2</v>
      </c>
      <c r="Z14" s="21">
        <f t="shared" si="5"/>
        <v>2.8334752651544483E-2</v>
      </c>
      <c r="AA14" s="21">
        <f t="shared" si="5"/>
        <v>2.9884882213920862E-2</v>
      </c>
      <c r="AB14" s="21">
        <f t="shared" si="5"/>
        <v>3.8812251578209035E-2</v>
      </c>
      <c r="AC14" s="21" t="e">
        <f>I14/I$41</f>
        <v>#DIV/0!</v>
      </c>
      <c r="AD14" s="92">
        <f t="shared" si="4"/>
        <v>2.123907259597111E-2</v>
      </c>
      <c r="AE14" s="2"/>
    </row>
    <row r="15" spans="1:31" ht="15" x14ac:dyDescent="0.2">
      <c r="A15" s="46" t="s">
        <v>138</v>
      </c>
      <c r="B15" s="167">
        <v>42.7</v>
      </c>
      <c r="C15" s="167">
        <v>30.3</v>
      </c>
      <c r="D15" s="167">
        <v>8.8000000000000007</v>
      </c>
      <c r="E15" s="167">
        <v>38.700000000000003</v>
      </c>
      <c r="F15" s="167">
        <v>29.4</v>
      </c>
      <c r="G15" s="167">
        <v>40.1</v>
      </c>
      <c r="H15" s="167">
        <v>6</v>
      </c>
      <c r="I15" s="75"/>
      <c r="J15" s="21">
        <f t="shared" si="3"/>
        <v>-0.27666126156555654</v>
      </c>
      <c r="K15" s="37" t="str">
        <f>+A15</f>
        <v>Notes Receivable from Questar</v>
      </c>
      <c r="L15" s="21"/>
      <c r="M15" s="21"/>
      <c r="N15" s="21"/>
      <c r="O15" s="21"/>
      <c r="P15" s="21"/>
      <c r="Q15" s="21" t="e">
        <f>#REF!/#REF!</f>
        <v>#REF!</v>
      </c>
      <c r="R15" s="21" t="e">
        <f>#REF!/#REF!</f>
        <v>#REF!</v>
      </c>
      <c r="S15" s="21" t="e">
        <f>#REF!/#REF!</f>
        <v>#REF!</v>
      </c>
      <c r="T15" s="21" t="e">
        <f>#REF!/#REF!</f>
        <v>#REF!</v>
      </c>
      <c r="U15" s="21" t="e">
        <f>#REF!/#REF!</f>
        <v>#REF!</v>
      </c>
      <c r="V15" s="21">
        <f t="shared" si="5"/>
        <v>3.4891322111456131E-2</v>
      </c>
      <c r="W15" s="21">
        <f t="shared" si="5"/>
        <v>2.3426627493428175E-2</v>
      </c>
      <c r="X15" s="21">
        <f t="shared" si="5"/>
        <v>6.6889632107023419E-3</v>
      </c>
      <c r="Y15" s="21">
        <f t="shared" si="5"/>
        <v>2.8349571459966302E-2</v>
      </c>
      <c r="Z15" s="21">
        <f t="shared" si="5"/>
        <v>2.2760702949601301E-2</v>
      </c>
      <c r="AA15" s="21">
        <f t="shared" si="5"/>
        <v>3.057101471373027E-2</v>
      </c>
      <c r="AB15" s="21">
        <f t="shared" si="5"/>
        <v>4.676174888940848E-3</v>
      </c>
      <c r="AC15" s="21" t="e">
        <f>I15/I$41</f>
        <v>#DIV/0!</v>
      </c>
      <c r="AD15" s="21">
        <f t="shared" si="4"/>
        <v>2.2394526795895098E-2</v>
      </c>
      <c r="AE15" s="2"/>
    </row>
    <row r="16" spans="1:31" ht="15" x14ac:dyDescent="0.2">
      <c r="A16" s="41" t="s">
        <v>88</v>
      </c>
      <c r="B16" s="167">
        <v>6</v>
      </c>
      <c r="C16" s="167">
        <v>7.2</v>
      </c>
      <c r="D16" s="167">
        <v>7.4</v>
      </c>
      <c r="E16" s="167">
        <v>7.2</v>
      </c>
      <c r="F16" s="167">
        <v>8.1</v>
      </c>
      <c r="G16" s="167">
        <v>10.3</v>
      </c>
      <c r="H16" s="167">
        <v>7.9</v>
      </c>
      <c r="I16" s="75"/>
      <c r="J16" s="21">
        <f t="shared" si="3"/>
        <v>1.8729585592748114E-2</v>
      </c>
      <c r="K16" s="37" t="str">
        <f>A16</f>
        <v>Material and Supplies</v>
      </c>
      <c r="L16" s="21" t="e">
        <f>#REF!/#REF!</f>
        <v>#REF!</v>
      </c>
      <c r="M16" s="21" t="e">
        <f>#REF!/#REF!</f>
        <v>#REF!</v>
      </c>
      <c r="N16" s="21" t="e">
        <f>#REF!/#REF!</f>
        <v>#REF!</v>
      </c>
      <c r="O16" s="21" t="e">
        <f>#REF!/#REF!</f>
        <v>#REF!</v>
      </c>
      <c r="P16" s="21" t="e">
        <f>#REF!/#REF!</f>
        <v>#REF!</v>
      </c>
      <c r="Q16" s="21" t="e">
        <f>#REF!/#REF!</f>
        <v>#REF!</v>
      </c>
      <c r="R16" s="21" t="e">
        <f>#REF!/#REF!</f>
        <v>#REF!</v>
      </c>
      <c r="S16" s="21" t="e">
        <f>#REF!/#REF!</f>
        <v>#REF!</v>
      </c>
      <c r="T16" s="21" t="e">
        <f>#REF!/#REF!</f>
        <v>#REF!</v>
      </c>
      <c r="U16" s="21" t="e">
        <f>#REF!/#REF!</f>
        <v>#REF!</v>
      </c>
      <c r="V16" s="21">
        <f t="shared" si="5"/>
        <v>4.9027618891975822E-3</v>
      </c>
      <c r="W16" s="21">
        <f t="shared" si="5"/>
        <v>5.5667233647750123E-3</v>
      </c>
      <c r="X16" s="21">
        <f t="shared" si="5"/>
        <v>5.6248099726360599E-3</v>
      </c>
      <c r="Y16" s="21">
        <f t="shared" si="5"/>
        <v>5.2743388762727999E-3</v>
      </c>
      <c r="Z16" s="21">
        <f t="shared" si="5"/>
        <v>6.2708059146860734E-3</v>
      </c>
      <c r="AA16" s="21">
        <f t="shared" si="5"/>
        <v>7.8524052755965523E-3</v>
      </c>
      <c r="AB16" s="21">
        <f t="shared" si="5"/>
        <v>6.1569636037721162E-3</v>
      </c>
      <c r="AC16" s="21" t="e">
        <f>I16/I$41</f>
        <v>#DIV/0!</v>
      </c>
      <c r="AD16" s="21">
        <f t="shared" si="4"/>
        <v>6.1117445838084379E-3</v>
      </c>
      <c r="AE16" s="2"/>
    </row>
    <row r="17" spans="1:33" ht="15" x14ac:dyDescent="0.2">
      <c r="A17" s="46" t="s">
        <v>10</v>
      </c>
      <c r="B17" s="167">
        <v>1.7</v>
      </c>
      <c r="C17" s="167">
        <v>1.1000000000000001</v>
      </c>
      <c r="D17" s="167"/>
      <c r="E17" s="167"/>
      <c r="F17" s="167"/>
      <c r="G17" s="167"/>
      <c r="H17" s="167"/>
      <c r="I17" s="75"/>
      <c r="J17" s="21"/>
      <c r="K17" s="37" t="str">
        <f>+A17</f>
        <v>Deferred Income Taxes</v>
      </c>
      <c r="L17" s="21"/>
      <c r="M17" s="21"/>
      <c r="N17" s="21"/>
      <c r="O17" s="21"/>
      <c r="P17" s="21"/>
      <c r="Q17" s="21"/>
      <c r="R17" s="21"/>
      <c r="S17" s="21" t="e">
        <f>#REF!/#REF!</f>
        <v>#REF!</v>
      </c>
      <c r="T17" s="21"/>
      <c r="U17" s="21"/>
      <c r="V17" s="21">
        <f t="shared" ref="V17:AB17" si="6">B17/B$41</f>
        <v>1.3891158686059816E-3</v>
      </c>
      <c r="W17" s="21">
        <f t="shared" si="6"/>
        <v>8.5047162517396023E-4</v>
      </c>
      <c r="X17" s="21">
        <f t="shared" si="6"/>
        <v>0</v>
      </c>
      <c r="Y17" s="21">
        <f t="shared" si="6"/>
        <v>0</v>
      </c>
      <c r="Z17" s="21">
        <f t="shared" si="6"/>
        <v>0</v>
      </c>
      <c r="AA17" s="21">
        <f t="shared" si="6"/>
        <v>0</v>
      </c>
      <c r="AB17" s="21">
        <f t="shared" si="6"/>
        <v>0</v>
      </c>
      <c r="AC17" s="21" t="e">
        <f t="shared" ref="AC17" si="7">I17/I$41</f>
        <v>#DIV/0!</v>
      </c>
      <c r="AD17" s="21">
        <f t="shared" si="4"/>
        <v>1.6723679209426076E-4</v>
      </c>
      <c r="AE17" s="2"/>
    </row>
    <row r="18" spans="1:33" ht="15" hidden="1" x14ac:dyDescent="0.2">
      <c r="A18" s="46" t="s">
        <v>59</v>
      </c>
      <c r="B18" s="167"/>
      <c r="C18" s="167"/>
      <c r="D18" s="167"/>
      <c r="E18" s="167"/>
      <c r="F18" s="167"/>
      <c r="G18" s="167"/>
      <c r="H18" s="167"/>
      <c r="I18" s="75"/>
      <c r="J18" s="21"/>
      <c r="K18" s="37" t="str">
        <f>+A18</f>
        <v>Regulatory Assets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f t="shared" si="4"/>
        <v>0</v>
      </c>
      <c r="AE18" s="2"/>
    </row>
    <row r="19" spans="1:33" ht="15" x14ac:dyDescent="0.2">
      <c r="A19" s="46" t="s">
        <v>200</v>
      </c>
      <c r="B19" s="167"/>
      <c r="C19" s="167"/>
      <c r="D19" s="167"/>
      <c r="E19" s="167"/>
      <c r="F19" s="167"/>
      <c r="G19" s="167"/>
      <c r="H19" s="167">
        <v>8.4</v>
      </c>
      <c r="I19" s="75"/>
      <c r="J19" s="21"/>
      <c r="K19" s="37" t="str">
        <f>+A19</f>
        <v>Federal Income Tax Receivable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"/>
    </row>
    <row r="20" spans="1:33" ht="15" x14ac:dyDescent="0.2">
      <c r="A20" s="37" t="s">
        <v>24</v>
      </c>
      <c r="B20" s="167">
        <v>4.9000000000000004</v>
      </c>
      <c r="C20" s="167">
        <v>6.4</v>
      </c>
      <c r="D20" s="167">
        <v>11.4</v>
      </c>
      <c r="E20" s="167">
        <f>5.7+7.7+1.6</f>
        <v>15</v>
      </c>
      <c r="F20" s="167">
        <f>5.6+4.4+1.8</f>
        <v>11.8</v>
      </c>
      <c r="G20" s="167">
        <f>0.7+1.3+4.3+1.9</f>
        <v>8.1999999999999993</v>
      </c>
      <c r="H20" s="167">
        <f>0.2+4.4</f>
        <v>4.6000000000000005</v>
      </c>
      <c r="I20" s="75"/>
      <c r="J20" s="25">
        <f>RATE(5,,-C20,H20)</f>
        <v>-6.3914384719315306E-2</v>
      </c>
      <c r="K20" s="37" t="str">
        <f>A20</f>
        <v>Other Current Assets</v>
      </c>
      <c r="L20" s="42" t="e">
        <f>#REF!/#REF!</f>
        <v>#REF!</v>
      </c>
      <c r="M20" s="42" t="e">
        <f>#REF!/#REF!</f>
        <v>#REF!</v>
      </c>
      <c r="N20" s="42" t="e">
        <f>#REF!/#REF!</f>
        <v>#REF!</v>
      </c>
      <c r="O20" s="42" t="e">
        <f>#REF!/#REF!</f>
        <v>#REF!</v>
      </c>
      <c r="P20" s="42" t="e">
        <f>#REF!/#REF!</f>
        <v>#REF!</v>
      </c>
      <c r="Q20" s="42" t="e">
        <f>#REF!/#REF!</f>
        <v>#REF!</v>
      </c>
      <c r="R20" s="42" t="e">
        <f>#REF!/#REF!</f>
        <v>#REF!</v>
      </c>
      <c r="S20" s="42" t="e">
        <f>#REF!/#REF!</f>
        <v>#REF!</v>
      </c>
      <c r="T20" s="42" t="e">
        <f>#REF!/#REF!</f>
        <v>#REF!</v>
      </c>
      <c r="U20" s="42" t="e">
        <f>#REF!/#REF!</f>
        <v>#REF!</v>
      </c>
      <c r="V20" s="42">
        <f t="shared" ref="V20:AB21" si="8">B20/B$41</f>
        <v>4.0039222095113588E-3</v>
      </c>
      <c r="W20" s="42">
        <f t="shared" si="8"/>
        <v>4.9481985464666775E-3</v>
      </c>
      <c r="X20" s="42">
        <f t="shared" si="8"/>
        <v>8.6652477956825798E-3</v>
      </c>
      <c r="Y20" s="42">
        <f t="shared" si="8"/>
        <v>1.0988205992235E-2</v>
      </c>
      <c r="Z20" s="42">
        <f t="shared" si="8"/>
        <v>9.1352481226290947E-3</v>
      </c>
      <c r="AA20" s="42">
        <f t="shared" si="8"/>
        <v>6.2514294427079347E-3</v>
      </c>
      <c r="AB20" s="42">
        <f t="shared" si="8"/>
        <v>3.5850674148546501E-3</v>
      </c>
      <c r="AC20" s="42" t="e">
        <f t="shared" ref="AC20:AC21" si="9">I20/I$41</f>
        <v>#DIV/0!</v>
      </c>
      <c r="AD20" s="25">
        <f>SUM(C20:G20)/SUM(C$41:G$41)</f>
        <v>8.0273660205245154E-3</v>
      </c>
      <c r="AE20" s="2"/>
    </row>
    <row r="21" spans="1:33" ht="15" x14ac:dyDescent="0.2">
      <c r="A21" s="37" t="s">
        <v>39</v>
      </c>
      <c r="B21" s="168">
        <f t="shared" ref="B21:I21" si="10">SUM(B11:B20)</f>
        <v>92.40000000000002</v>
      </c>
      <c r="C21" s="168">
        <f t="shared" si="10"/>
        <v>85.600000000000009</v>
      </c>
      <c r="D21" s="168">
        <f t="shared" si="10"/>
        <v>70.3</v>
      </c>
      <c r="E21" s="168">
        <f t="shared" si="10"/>
        <v>114.60000000000001</v>
      </c>
      <c r="F21" s="168">
        <f t="shared" si="10"/>
        <v>107.09999999999998</v>
      </c>
      <c r="G21" s="168">
        <f t="shared" si="10"/>
        <v>122.4</v>
      </c>
      <c r="H21" s="168">
        <f t="shared" ref="H21" si="11">SUM(H11:H20)</f>
        <v>108.1</v>
      </c>
      <c r="I21" s="106">
        <f t="shared" si="10"/>
        <v>0</v>
      </c>
      <c r="J21" s="21">
        <f>RATE(5,,-C21,H21)</f>
        <v>4.7780679068376623E-2</v>
      </c>
      <c r="K21" s="37" t="str">
        <f>A21</f>
        <v>Total Current Assets</v>
      </c>
      <c r="L21" s="21" t="e">
        <f>#REF!/#REF!</f>
        <v>#REF!</v>
      </c>
      <c r="M21" s="21" t="e">
        <f>#REF!/#REF!</f>
        <v>#REF!</v>
      </c>
      <c r="N21" s="21" t="e">
        <f>#REF!/#REF!</f>
        <v>#REF!</v>
      </c>
      <c r="O21" s="21" t="e">
        <f>#REF!/#REF!</f>
        <v>#REF!</v>
      </c>
      <c r="P21" s="21" t="e">
        <f>#REF!/#REF!</f>
        <v>#REF!</v>
      </c>
      <c r="Q21" s="21" t="e">
        <f>#REF!/#REF!</f>
        <v>#REF!</v>
      </c>
      <c r="R21" s="21" t="e">
        <f>#REF!/#REF!</f>
        <v>#REF!</v>
      </c>
      <c r="S21" s="21" t="e">
        <f>#REF!/#REF!</f>
        <v>#REF!</v>
      </c>
      <c r="T21" s="21" t="e">
        <f>#REF!/#REF!</f>
        <v>#REF!</v>
      </c>
      <c r="U21" s="21" t="e">
        <f>#REF!/#REF!</f>
        <v>#REF!</v>
      </c>
      <c r="V21" s="21">
        <f t="shared" si="8"/>
        <v>7.5502533093642785E-2</v>
      </c>
      <c r="W21" s="21">
        <f t="shared" si="8"/>
        <v>6.6182155558991818E-2</v>
      </c>
      <c r="X21" s="21">
        <f t="shared" si="8"/>
        <v>5.3435694740042568E-2</v>
      </c>
      <c r="Y21" s="21">
        <f t="shared" si="8"/>
        <v>8.3949893780675411E-2</v>
      </c>
      <c r="Z21" s="21">
        <f t="shared" si="8"/>
        <v>8.2913989316404729E-2</v>
      </c>
      <c r="AA21" s="21">
        <f t="shared" si="8"/>
        <v>9.3314019974079426E-2</v>
      </c>
      <c r="AB21" s="21">
        <f t="shared" si="8"/>
        <v>8.4249084249084269E-2</v>
      </c>
      <c r="AC21" s="21" t="e">
        <f t="shared" si="9"/>
        <v>#DIV/0!</v>
      </c>
      <c r="AD21" s="21">
        <f>SUM(C21:G21)/SUM(C$41:G$41)</f>
        <v>7.6016723679209419E-2</v>
      </c>
      <c r="AE21" s="2"/>
    </row>
    <row r="22" spans="1:33" ht="15" x14ac:dyDescent="0.2">
      <c r="A22" s="37"/>
      <c r="B22" s="167"/>
      <c r="C22" s="167"/>
      <c r="D22" s="167"/>
      <c r="E22" s="167"/>
      <c r="F22" s="167"/>
      <c r="G22" s="167"/>
      <c r="H22" s="167"/>
      <c r="I22" s="75"/>
      <c r="J22" s="21"/>
      <c r="K22" s="3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4"/>
    </row>
    <row r="23" spans="1:33" ht="15.75" x14ac:dyDescent="0.25">
      <c r="A23" s="61" t="s">
        <v>26</v>
      </c>
      <c r="B23" s="169"/>
      <c r="C23" s="169"/>
      <c r="D23" s="169"/>
      <c r="E23" s="169"/>
      <c r="F23" s="169"/>
      <c r="G23" s="169"/>
      <c r="H23" s="169"/>
      <c r="I23" s="93"/>
      <c r="J23" s="76"/>
      <c r="K23" s="49" t="s">
        <v>26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4"/>
    </row>
    <row r="24" spans="1:33" ht="15" x14ac:dyDescent="0.2">
      <c r="A24" s="37" t="s">
        <v>139</v>
      </c>
      <c r="B24" s="167">
        <v>1152.8</v>
      </c>
      <c r="C24" s="167">
        <v>1196.8</v>
      </c>
      <c r="D24" s="167">
        <v>1358.5</v>
      </c>
      <c r="E24" s="167">
        <v>1394.7</v>
      </c>
      <c r="F24" s="167">
        <v>1331</v>
      </c>
      <c r="G24" s="167">
        <v>1371.6</v>
      </c>
      <c r="H24" s="167">
        <v>1396.8</v>
      </c>
      <c r="I24" s="75"/>
      <c r="J24" s="21">
        <f t="shared" ref="J24:J29" si="12">RATE(5,,-C24,H24)</f>
        <v>3.1389080563350935E-2</v>
      </c>
      <c r="K24" s="37" t="str">
        <f t="shared" ref="K24:K29" si="13">A24</f>
        <v>Transportation</v>
      </c>
      <c r="L24" s="21" t="e">
        <f>#REF!/#REF!</f>
        <v>#REF!</v>
      </c>
      <c r="M24" s="21" t="e">
        <f>#REF!/#REF!</f>
        <v>#REF!</v>
      </c>
      <c r="N24" s="21" t="e">
        <f>#REF!/#REF!</f>
        <v>#REF!</v>
      </c>
      <c r="O24" s="21" t="e">
        <f>#REF!/#REF!</f>
        <v>#REF!</v>
      </c>
      <c r="P24" s="21" t="e">
        <f>#REF!/#REF!</f>
        <v>#REF!</v>
      </c>
      <c r="Q24" s="21" t="e">
        <f>#REF!/#REF!</f>
        <v>#REF!</v>
      </c>
      <c r="R24" s="21" t="e">
        <f>#REF!/#REF!</f>
        <v>#REF!</v>
      </c>
      <c r="S24" s="21" t="e">
        <f>#REF!/#REF!</f>
        <v>#REF!</v>
      </c>
      <c r="T24" s="21" t="e">
        <f>#REF!/#REF!</f>
        <v>#REF!</v>
      </c>
      <c r="U24" s="21" t="e">
        <f>#REF!/#REF!</f>
        <v>#REF!</v>
      </c>
      <c r="V24" s="21">
        <f t="shared" ref="V24:AB25" si="14">B24/B$41</f>
        <v>0.94198398431116215</v>
      </c>
      <c r="W24" s="21">
        <f t="shared" si="14"/>
        <v>0.9253131281892687</v>
      </c>
      <c r="X24" s="21">
        <f t="shared" si="14"/>
        <v>1.0326086956521741</v>
      </c>
      <c r="Y24" s="21">
        <f t="shared" si="14"/>
        <v>1.0216833931580103</v>
      </c>
      <c r="Z24" s="21">
        <f t="shared" si="14"/>
        <v>1.0304250212897732</v>
      </c>
      <c r="AA24" s="21">
        <f t="shared" si="14"/>
        <v>1.045665929709537</v>
      </c>
      <c r="AB24" s="21">
        <f t="shared" si="14"/>
        <v>1.0886135141454292</v>
      </c>
      <c r="AC24" s="21" t="e">
        <f t="shared" ref="AC24:AC25" si="15">I24/I$41</f>
        <v>#DIV/0!</v>
      </c>
      <c r="AD24" s="21">
        <f t="shared" ref="AD24:AD33" si="16">SUM(C24:G24)/SUM(C$41:G$41)</f>
        <v>1.0114177118966172</v>
      </c>
      <c r="AE24" s="4"/>
      <c r="AG24" s="1"/>
    </row>
    <row r="25" spans="1:33" ht="15" x14ac:dyDescent="0.2">
      <c r="A25" s="41" t="s">
        <v>112</v>
      </c>
      <c r="B25" s="170">
        <v>77.5</v>
      </c>
      <c r="C25" s="170">
        <v>143.80000000000001</v>
      </c>
      <c r="D25" s="170">
        <v>53.4</v>
      </c>
      <c r="E25" s="170">
        <v>49.3</v>
      </c>
      <c r="F25" s="170">
        <v>40.9</v>
      </c>
      <c r="G25" s="170">
        <v>48.2</v>
      </c>
      <c r="H25" s="170">
        <v>34.799999999999997</v>
      </c>
      <c r="I25" s="107"/>
      <c r="J25" s="21">
        <f t="shared" si="12"/>
        <v>-0.24705358196430158</v>
      </c>
      <c r="K25" s="37" t="str">
        <f t="shared" si="13"/>
        <v>Construction Work in Progress</v>
      </c>
      <c r="L25" s="21" t="e">
        <f>#REF!/#REF!</f>
        <v>#REF!</v>
      </c>
      <c r="M25" s="21" t="e">
        <f>#REF!/#REF!</f>
        <v>#REF!</v>
      </c>
      <c r="N25" s="21" t="e">
        <f>#REF!/#REF!</f>
        <v>#REF!</v>
      </c>
      <c r="O25" s="21" t="e">
        <f>#REF!/#REF!</f>
        <v>#REF!</v>
      </c>
      <c r="P25" s="21" t="e">
        <f>#REF!/#REF!</f>
        <v>#REF!</v>
      </c>
      <c r="Q25" s="21" t="e">
        <f>#REF!/#REF!</f>
        <v>#REF!</v>
      </c>
      <c r="R25" s="21" t="e">
        <f>#REF!/#REF!</f>
        <v>#REF!</v>
      </c>
      <c r="S25" s="21" t="e">
        <f>#REF!/#REF!</f>
        <v>#REF!</v>
      </c>
      <c r="T25" s="21" t="e">
        <f>#REF!/#REF!</f>
        <v>#REF!</v>
      </c>
      <c r="U25" s="21" t="e">
        <f>#REF!/#REF!</f>
        <v>#REF!</v>
      </c>
      <c r="V25" s="21">
        <f t="shared" si="14"/>
        <v>6.3327341068802112E-2</v>
      </c>
      <c r="W25" s="21">
        <f t="shared" si="14"/>
        <v>0.11117983609092316</v>
      </c>
      <c r="X25" s="21">
        <f t="shared" si="14"/>
        <v>4.0589844937671024E-2</v>
      </c>
      <c r="Y25" s="21">
        <f t="shared" si="14"/>
        <v>3.6114570361145695E-2</v>
      </c>
      <c r="Z25" s="21">
        <f t="shared" si="14"/>
        <v>3.1663699001316097E-2</v>
      </c>
      <c r="AA25" s="21">
        <f t="shared" si="14"/>
        <v>3.6746207212014936E-2</v>
      </c>
      <c r="AB25" s="21">
        <f t="shared" si="14"/>
        <v>2.7121814355856914E-2</v>
      </c>
      <c r="AC25" s="21" t="e">
        <f t="shared" si="15"/>
        <v>#DIV/0!</v>
      </c>
      <c r="AD25" s="21">
        <f t="shared" si="16"/>
        <v>5.1022424933485362E-2</v>
      </c>
      <c r="AE25" s="4"/>
      <c r="AG25" t="e">
        <f>AVERAGE(#REF!)</f>
        <v>#REF!</v>
      </c>
    </row>
    <row r="26" spans="1:33" ht="15" x14ac:dyDescent="0.2">
      <c r="A26" s="46" t="s">
        <v>140</v>
      </c>
      <c r="B26" s="170">
        <v>274.8</v>
      </c>
      <c r="C26" s="170">
        <v>281.8</v>
      </c>
      <c r="D26" s="170">
        <v>287.8</v>
      </c>
      <c r="E26" s="170">
        <v>288.89999999999998</v>
      </c>
      <c r="F26" s="170">
        <v>296.2</v>
      </c>
      <c r="G26" s="170">
        <v>300.3</v>
      </c>
      <c r="H26" s="170">
        <v>308.60000000000002</v>
      </c>
      <c r="I26" s="107"/>
      <c r="J26" s="21">
        <f t="shared" si="12"/>
        <v>1.8335740816146192E-2</v>
      </c>
      <c r="K26" s="37" t="str">
        <f t="shared" si="13"/>
        <v>Storage</v>
      </c>
      <c r="L26" s="21"/>
      <c r="M26" s="21"/>
      <c r="N26" s="21"/>
      <c r="O26" s="21"/>
      <c r="P26" s="21"/>
      <c r="Q26" s="21" t="e">
        <f>#REF!/#REF!</f>
        <v>#REF!</v>
      </c>
      <c r="R26" s="21" t="e">
        <f>#REF!/#REF!</f>
        <v>#REF!</v>
      </c>
      <c r="S26" s="21" t="e">
        <f>#REF!/#REF!</f>
        <v>#REF!</v>
      </c>
      <c r="T26" s="21" t="e">
        <f>#REF!/#REF!</f>
        <v>#REF!</v>
      </c>
      <c r="U26" s="21" t="e">
        <f>#REF!/#REF!</f>
        <v>#REF!</v>
      </c>
      <c r="V26" s="21">
        <f t="shared" ref="V26:AB29" si="17">B26/B$41</f>
        <v>0.22454649452524927</v>
      </c>
      <c r="W26" s="21">
        <f t="shared" si="17"/>
        <v>0.21787536724911091</v>
      </c>
      <c r="X26" s="21">
        <f t="shared" si="17"/>
        <v>0.21875950136819705</v>
      </c>
      <c r="Y26" s="21">
        <f t="shared" si="17"/>
        <v>0.21163284741044608</v>
      </c>
      <c r="Z26" s="21">
        <f t="shared" si="17"/>
        <v>0.22931021134938456</v>
      </c>
      <c r="AA26" s="21">
        <f t="shared" si="17"/>
        <v>0.22893954410307232</v>
      </c>
      <c r="AB26" s="21">
        <f t="shared" si="17"/>
        <v>0.24051126178785762</v>
      </c>
      <c r="AC26" s="21" t="e">
        <f t="shared" ref="AC26:AC29" si="18">I26/I$41</f>
        <v>#DIV/0!</v>
      </c>
      <c r="AD26" s="21">
        <f t="shared" si="16"/>
        <v>0.22120866590649943</v>
      </c>
      <c r="AE26" s="4"/>
    </row>
    <row r="27" spans="1:33" ht="15" x14ac:dyDescent="0.2">
      <c r="A27" s="46" t="s">
        <v>141</v>
      </c>
      <c r="B27" s="170">
        <v>22.6</v>
      </c>
      <c r="C27" s="170">
        <v>25.3</v>
      </c>
      <c r="D27" s="170">
        <v>25.4</v>
      </c>
      <c r="E27" s="170">
        <v>25.7</v>
      </c>
      <c r="F27" s="170">
        <v>24.1</v>
      </c>
      <c r="G27" s="170">
        <v>24.9</v>
      </c>
      <c r="H27" s="170">
        <v>24.9</v>
      </c>
      <c r="I27" s="107"/>
      <c r="J27" s="21">
        <f t="shared" si="12"/>
        <v>-3.1822443454665264E-3</v>
      </c>
      <c r="K27" s="37" t="str">
        <f t="shared" si="13"/>
        <v>Processing</v>
      </c>
      <c r="L27" s="21"/>
      <c r="M27" s="21"/>
      <c r="N27" s="21"/>
      <c r="O27" s="21"/>
      <c r="P27" s="21"/>
      <c r="Q27" s="21" t="e">
        <f>#REF!/#REF!</f>
        <v>#REF!</v>
      </c>
      <c r="R27" s="21" t="e">
        <f>#REF!/#REF!</f>
        <v>#REF!</v>
      </c>
      <c r="S27" s="21" t="e">
        <f>#REF!/#REF!</f>
        <v>#REF!</v>
      </c>
      <c r="T27" s="21" t="e">
        <f>#REF!/#REF!</f>
        <v>#REF!</v>
      </c>
      <c r="U27" s="21" t="e">
        <f>#REF!/#REF!</f>
        <v>#REF!</v>
      </c>
      <c r="V27" s="21">
        <f t="shared" si="17"/>
        <v>1.846706978264423E-2</v>
      </c>
      <c r="W27" s="21">
        <f t="shared" si="17"/>
        <v>1.9560847379001087E-2</v>
      </c>
      <c r="X27" s="21">
        <f t="shared" si="17"/>
        <v>1.9306780176345396E-2</v>
      </c>
      <c r="Y27" s="21">
        <f t="shared" si="17"/>
        <v>1.8826459600029301E-2</v>
      </c>
      <c r="Z27" s="21">
        <f t="shared" si="17"/>
        <v>1.8657583030115357E-2</v>
      </c>
      <c r="AA27" s="21">
        <f t="shared" si="17"/>
        <v>1.8982999161393607E-2</v>
      </c>
      <c r="AB27" s="21">
        <f t="shared" si="17"/>
        <v>1.9406125789104518E-2</v>
      </c>
      <c r="AC27" s="21" t="e">
        <f t="shared" si="18"/>
        <v>#DIV/0!</v>
      </c>
      <c r="AD27" s="21">
        <f t="shared" si="16"/>
        <v>1.9064994298745724E-2</v>
      </c>
      <c r="AE27" s="4"/>
    </row>
    <row r="28" spans="1:33" ht="15" x14ac:dyDescent="0.2">
      <c r="A28" s="37" t="s">
        <v>142</v>
      </c>
      <c r="B28" s="170">
        <v>62.1</v>
      </c>
      <c r="C28" s="170">
        <v>63.4</v>
      </c>
      <c r="D28" s="170">
        <v>65.3</v>
      </c>
      <c r="E28" s="170">
        <v>81.5</v>
      </c>
      <c r="F28" s="170">
        <v>82.1</v>
      </c>
      <c r="G28" s="170">
        <v>82.7</v>
      </c>
      <c r="H28" s="170">
        <v>86</v>
      </c>
      <c r="I28" s="107"/>
      <c r="J28" s="25">
        <f t="shared" si="12"/>
        <v>6.2874135073328119E-2</v>
      </c>
      <c r="K28" s="37" t="str">
        <f t="shared" si="13"/>
        <v>General and Intangible</v>
      </c>
      <c r="L28" s="43" t="e">
        <f>#REF!/#REF!</f>
        <v>#REF!</v>
      </c>
      <c r="M28" s="43" t="e">
        <f>#REF!/#REF!</f>
        <v>#REF!</v>
      </c>
      <c r="N28" s="43" t="e">
        <f>#REF!/#REF!</f>
        <v>#REF!</v>
      </c>
      <c r="O28" s="43" t="e">
        <f>#REF!/#REF!</f>
        <v>#REF!</v>
      </c>
      <c r="P28" s="43" t="e">
        <f>#REF!/#REF!</f>
        <v>#REF!</v>
      </c>
      <c r="Q28" s="43" t="e">
        <f>#REF!/#REF!</f>
        <v>#REF!</v>
      </c>
      <c r="R28" s="21" t="e">
        <f>#REF!/#REF!</f>
        <v>#REF!</v>
      </c>
      <c r="S28" s="21" t="e">
        <f>#REF!/#REF!</f>
        <v>#REF!</v>
      </c>
      <c r="T28" s="21" t="e">
        <f>#REF!/#REF!</f>
        <v>#REF!</v>
      </c>
      <c r="U28" s="21" t="e">
        <f>#REF!/#REF!</f>
        <v>#REF!</v>
      </c>
      <c r="V28" s="21">
        <f t="shared" si="17"/>
        <v>5.0743585553194977E-2</v>
      </c>
      <c r="W28" s="21">
        <f t="shared" si="17"/>
        <v>4.9018091850935523E-2</v>
      </c>
      <c r="X28" s="21">
        <f t="shared" si="17"/>
        <v>4.9635147461234416E-2</v>
      </c>
      <c r="Y28" s="21">
        <f t="shared" si="17"/>
        <v>5.9702585891143502E-2</v>
      </c>
      <c r="Z28" s="21">
        <f t="shared" si="17"/>
        <v>6.3559650073546498E-2</v>
      </c>
      <c r="AA28" s="21">
        <f t="shared" si="17"/>
        <v>6.3047953038042226E-2</v>
      </c>
      <c r="AB28" s="21">
        <f t="shared" si="17"/>
        <v>6.7025173408152144E-2</v>
      </c>
      <c r="AC28" s="21" t="e">
        <f t="shared" si="18"/>
        <v>#DIV/0!</v>
      </c>
      <c r="AD28" s="25">
        <f t="shared" si="16"/>
        <v>5.7012542759407057E-2</v>
      </c>
      <c r="AE28" s="2"/>
    </row>
    <row r="29" spans="1:33" ht="12.75" customHeight="1" x14ac:dyDescent="0.2">
      <c r="A29" s="37" t="s">
        <v>63</v>
      </c>
      <c r="B29" s="168">
        <f t="shared" ref="B29:C29" si="19">SUM(B24:B28)</f>
        <v>1589.7999999999997</v>
      </c>
      <c r="C29" s="168">
        <f t="shared" si="19"/>
        <v>1711.1</v>
      </c>
      <c r="D29" s="168">
        <f t="shared" ref="D29:E29" si="20">SUM(D24:D28)</f>
        <v>1790.4</v>
      </c>
      <c r="E29" s="168">
        <f t="shared" si="20"/>
        <v>1840.1000000000001</v>
      </c>
      <c r="F29" s="168">
        <f t="shared" ref="F29:G29" si="21">SUM(F24:F28)</f>
        <v>1774.3</v>
      </c>
      <c r="G29" s="168">
        <f t="shared" si="21"/>
        <v>1827.7</v>
      </c>
      <c r="H29" s="168">
        <f t="shared" ref="H29" si="22">SUM(H24:H28)</f>
        <v>1851.1</v>
      </c>
      <c r="I29" s="106">
        <f t="shared" ref="I29" si="23">SUM(I24:I28)</f>
        <v>0</v>
      </c>
      <c r="J29" s="21">
        <f t="shared" si="12"/>
        <v>1.5853071146804266E-2</v>
      </c>
      <c r="K29" s="37" t="str">
        <f t="shared" si="13"/>
        <v>Total Plant &amp; Equipment:</v>
      </c>
      <c r="L29" s="44" t="e">
        <f>#REF!/#REF!</f>
        <v>#REF!</v>
      </c>
      <c r="M29" s="44" t="e">
        <f>#REF!/#REF!</f>
        <v>#REF!</v>
      </c>
      <c r="N29" s="44" t="e">
        <f>#REF!/#REF!</f>
        <v>#REF!</v>
      </c>
      <c r="O29" s="44" t="e">
        <f>#REF!/#REF!</f>
        <v>#REF!</v>
      </c>
      <c r="P29" s="44" t="e">
        <f>#REF!/#REF!</f>
        <v>#REF!</v>
      </c>
      <c r="Q29" s="44" t="e">
        <f>#REF!/#REF!</f>
        <v>#REF!</v>
      </c>
      <c r="R29" s="44" t="e">
        <f>#REF!/#REF!</f>
        <v>#REF!</v>
      </c>
      <c r="S29" s="44" t="e">
        <f>#REF!/#REF!</f>
        <v>#REF!</v>
      </c>
      <c r="T29" s="44" t="e">
        <f>#REF!/#REF!</f>
        <v>#REF!</v>
      </c>
      <c r="U29" s="44" t="e">
        <f>#REF!/#REF!</f>
        <v>#REF!</v>
      </c>
      <c r="V29" s="44">
        <f t="shared" si="17"/>
        <v>1.2990684752410526</v>
      </c>
      <c r="W29" s="44">
        <f t="shared" si="17"/>
        <v>1.3229472707592393</v>
      </c>
      <c r="X29" s="44">
        <f t="shared" si="17"/>
        <v>1.3608999695956219</v>
      </c>
      <c r="Y29" s="44">
        <f t="shared" si="17"/>
        <v>1.3479598564207751</v>
      </c>
      <c r="Z29" s="44">
        <f t="shared" si="17"/>
        <v>1.3736161647441358</v>
      </c>
      <c r="AA29" s="44">
        <f t="shared" si="17"/>
        <v>1.3933826332240602</v>
      </c>
      <c r="AB29" s="44">
        <f t="shared" si="17"/>
        <v>1.4426778894864005</v>
      </c>
      <c r="AC29" s="44" t="e">
        <f t="shared" si="18"/>
        <v>#DIV/0!</v>
      </c>
      <c r="AD29" s="21">
        <f t="shared" si="16"/>
        <v>1.359726339794755</v>
      </c>
      <c r="AE29" s="2"/>
    </row>
    <row r="30" spans="1:33" ht="12" customHeight="1" x14ac:dyDescent="0.2">
      <c r="A30" s="37"/>
      <c r="B30" s="169"/>
      <c r="C30" s="169"/>
      <c r="D30" s="169"/>
      <c r="E30" s="169"/>
      <c r="F30" s="169"/>
      <c r="G30" s="169"/>
      <c r="H30" s="169"/>
      <c r="I30" s="93"/>
      <c r="J30" s="21"/>
      <c r="K30" s="38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21"/>
      <c r="AE30" s="2"/>
    </row>
    <row r="31" spans="1:33" ht="12.75" customHeight="1" x14ac:dyDescent="0.2">
      <c r="A31" s="37" t="s">
        <v>118</v>
      </c>
      <c r="B31" s="167">
        <v>502.5</v>
      </c>
      <c r="C31" s="167">
        <v>545</v>
      </c>
      <c r="D31" s="167">
        <v>586.70000000000005</v>
      </c>
      <c r="E31" s="167">
        <v>629.29999999999995</v>
      </c>
      <c r="F31" s="167">
        <v>627.20000000000005</v>
      </c>
      <c r="G31" s="167">
        <v>673.9</v>
      </c>
      <c r="H31" s="167">
        <v>709.7</v>
      </c>
      <c r="I31" s="75"/>
      <c r="J31" s="21">
        <f>RATE(5,,-C31,H31)</f>
        <v>5.4230703742305382E-2</v>
      </c>
      <c r="K31" s="37" t="str">
        <f>A31</f>
        <v>Accumulated Dep &amp; Amort</v>
      </c>
      <c r="L31" s="21" t="e">
        <f>#REF!/#REF!</f>
        <v>#REF!</v>
      </c>
      <c r="M31" s="21" t="e">
        <f>#REF!/#REF!</f>
        <v>#REF!</v>
      </c>
      <c r="N31" s="21" t="e">
        <f>#REF!/#REF!</f>
        <v>#REF!</v>
      </c>
      <c r="O31" s="21" t="e">
        <f>#REF!/#REF!</f>
        <v>#REF!</v>
      </c>
      <c r="P31" s="21" t="e">
        <f>#REF!/#REF!</f>
        <v>#REF!</v>
      </c>
      <c r="Q31" s="21" t="e">
        <f>#REF!/#REF!</f>
        <v>#REF!</v>
      </c>
      <c r="R31" s="21" t="e">
        <f>#REF!/#REF!</f>
        <v>#REF!</v>
      </c>
      <c r="S31" s="21" t="e">
        <f>#REF!/#REF!</f>
        <v>#REF!</v>
      </c>
      <c r="T31" s="21" t="e">
        <f>#REF!/#REF!</f>
        <v>#REF!</v>
      </c>
      <c r="U31" s="21" t="e">
        <f>#REF!/#REF!</f>
        <v>#REF!</v>
      </c>
      <c r="V31" s="21">
        <f t="shared" ref="V31:AB31" si="24">B31/B$41</f>
        <v>0.41060630822029753</v>
      </c>
      <c r="W31" s="21">
        <f t="shared" si="24"/>
        <v>0.421370032472553</v>
      </c>
      <c r="X31" s="21">
        <f t="shared" si="24"/>
        <v>0.44595621769534821</v>
      </c>
      <c r="Y31" s="21">
        <f t="shared" si="24"/>
        <v>0.46099186872756565</v>
      </c>
      <c r="Z31" s="21">
        <f t="shared" si="24"/>
        <v>0.48556166292482783</v>
      </c>
      <c r="AA31" s="21">
        <f t="shared" si="24"/>
        <v>0.51376076846839969</v>
      </c>
      <c r="AB31" s="21">
        <f t="shared" si="24"/>
        <v>0.55311355311355326</v>
      </c>
      <c r="AC31" s="21" t="e">
        <f t="shared" ref="AC31" si="25">I31/I$41</f>
        <v>#DIV/0!</v>
      </c>
      <c r="AD31" s="21">
        <f t="shared" si="16"/>
        <v>0.46554161915621434</v>
      </c>
      <c r="AE31" s="2"/>
    </row>
    <row r="32" spans="1:33" ht="12" customHeight="1" x14ac:dyDescent="0.2">
      <c r="A32" s="37"/>
      <c r="B32" s="167"/>
      <c r="C32" s="167"/>
      <c r="D32" s="167"/>
      <c r="E32" s="167"/>
      <c r="F32" s="167"/>
      <c r="G32" s="167"/>
      <c r="H32" s="167"/>
      <c r="I32" s="75"/>
      <c r="J32" s="21"/>
      <c r="K32" s="37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21"/>
      <c r="AE32" s="2"/>
    </row>
    <row r="33" spans="1:31" ht="15.75" x14ac:dyDescent="0.25">
      <c r="A33" s="37" t="s">
        <v>58</v>
      </c>
      <c r="B33" s="167">
        <f t="shared" ref="B33:C33" si="26">B29-B31</f>
        <v>1087.2999999999997</v>
      </c>
      <c r="C33" s="167">
        <f t="shared" si="26"/>
        <v>1166.0999999999999</v>
      </c>
      <c r="D33" s="167">
        <f t="shared" ref="D33:E33" si="27">D29-D31</f>
        <v>1203.7</v>
      </c>
      <c r="E33" s="167">
        <f t="shared" si="27"/>
        <v>1210.8000000000002</v>
      </c>
      <c r="F33" s="167">
        <f t="shared" ref="F33:G33" si="28">F29-F31</f>
        <v>1147.0999999999999</v>
      </c>
      <c r="G33" s="167">
        <f t="shared" si="28"/>
        <v>1153.8000000000002</v>
      </c>
      <c r="H33" s="167">
        <f t="shared" ref="H33" si="29">H29-H31</f>
        <v>1141.3999999999999</v>
      </c>
      <c r="I33" s="75">
        <f t="shared" ref="I33" si="30">I29-I31</f>
        <v>0</v>
      </c>
      <c r="J33" s="21">
        <f>RATE(5,,-C33,H33)</f>
        <v>-4.2726996193637352E-3</v>
      </c>
      <c r="K33" s="49" t="str">
        <f>A33</f>
        <v>Net Plant &amp; Equipment</v>
      </c>
      <c r="L33" s="21" t="e">
        <f>#REF!/#REF!</f>
        <v>#REF!</v>
      </c>
      <c r="M33" s="21" t="e">
        <f>#REF!/#REF!</f>
        <v>#REF!</v>
      </c>
      <c r="N33" s="21" t="e">
        <f>#REF!/#REF!</f>
        <v>#REF!</v>
      </c>
      <c r="O33" s="21" t="e">
        <f>#REF!/#REF!</f>
        <v>#REF!</v>
      </c>
      <c r="P33" s="21" t="e">
        <f>#REF!/#REF!</f>
        <v>#REF!</v>
      </c>
      <c r="Q33" s="21" t="e">
        <f>#REF!/#REF!</f>
        <v>#REF!</v>
      </c>
      <c r="R33" s="21" t="e">
        <f>#REF!/#REF!</f>
        <v>#REF!</v>
      </c>
      <c r="S33" s="21" t="e">
        <f>#REF!/#REF!</f>
        <v>#REF!</v>
      </c>
      <c r="T33" s="21" t="e">
        <f>#REF!/#REF!</f>
        <v>#REF!</v>
      </c>
      <c r="U33" s="21" t="e">
        <f>#REF!/#REF!</f>
        <v>#REF!</v>
      </c>
      <c r="V33" s="21">
        <f t="shared" ref="V33:AB33" si="31">B33/B$41</f>
        <v>0.88846216702075498</v>
      </c>
      <c r="W33" s="21">
        <f t="shared" si="31"/>
        <v>0.90157723828668623</v>
      </c>
      <c r="X33" s="21">
        <f t="shared" si="31"/>
        <v>0.91494375190027377</v>
      </c>
      <c r="Y33" s="21">
        <f t="shared" si="31"/>
        <v>0.88696798769320928</v>
      </c>
      <c r="Z33" s="21">
        <f t="shared" si="31"/>
        <v>0.8880545018193079</v>
      </c>
      <c r="AA33" s="21">
        <f t="shared" si="31"/>
        <v>0.87962186475566051</v>
      </c>
      <c r="AB33" s="21">
        <f t="shared" si="31"/>
        <v>0.88956433637284715</v>
      </c>
      <c r="AC33" s="21" t="e">
        <f t="shared" ref="AC33" si="32">I33/I$41</f>
        <v>#DIV/0!</v>
      </c>
      <c r="AD33" s="21">
        <f t="shared" si="16"/>
        <v>0.8941847206385406</v>
      </c>
      <c r="AE33" s="2"/>
    </row>
    <row r="34" spans="1:31" ht="12" customHeight="1" x14ac:dyDescent="0.2">
      <c r="A34" s="37"/>
      <c r="B34" s="169"/>
      <c r="C34" s="169"/>
      <c r="D34" s="169"/>
      <c r="E34" s="169"/>
      <c r="F34" s="169"/>
      <c r="G34" s="169"/>
      <c r="H34" s="169"/>
      <c r="I34" s="93"/>
      <c r="J34" s="21"/>
      <c r="K34" s="37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"/>
    </row>
    <row r="35" spans="1:31" ht="15.75" x14ac:dyDescent="0.25">
      <c r="A35" s="61" t="s">
        <v>71</v>
      </c>
      <c r="B35" s="169"/>
      <c r="C35" s="169"/>
      <c r="D35" s="169"/>
      <c r="E35" s="169"/>
      <c r="F35" s="169"/>
      <c r="G35" s="169"/>
      <c r="H35" s="169"/>
      <c r="I35" s="93"/>
      <c r="J35" s="21"/>
      <c r="K35" s="37" t="str">
        <f>A35</f>
        <v>Other Assets: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"/>
    </row>
    <row r="36" spans="1:31" ht="15" x14ac:dyDescent="0.2">
      <c r="A36" s="37" t="s">
        <v>156</v>
      </c>
      <c r="B36" s="167">
        <v>11.8</v>
      </c>
      <c r="C36" s="167">
        <v>9.6</v>
      </c>
      <c r="D36" s="167">
        <v>10.1</v>
      </c>
      <c r="E36" s="167">
        <v>9</v>
      </c>
      <c r="F36" s="167">
        <v>7.7</v>
      </c>
      <c r="G36" s="167">
        <v>6.6</v>
      </c>
      <c r="H36" s="167">
        <v>5.5</v>
      </c>
      <c r="I36" s="75"/>
      <c r="J36" s="21">
        <f t="shared" ref="J36:J41" si="33">RATE(5,,-C36,H36)</f>
        <v>-0.10542183983909896</v>
      </c>
      <c r="K36" s="37" t="str">
        <f>A36</f>
        <v xml:space="preserve">Regulatory and Other Noncurrent </v>
      </c>
      <c r="L36" s="21" t="e">
        <f>#REF!/#REF!</f>
        <v>#REF!</v>
      </c>
      <c r="M36" s="21" t="e">
        <f>#REF!/#REF!</f>
        <v>#REF!</v>
      </c>
      <c r="N36" s="21" t="e">
        <f>#REF!/#REF!</f>
        <v>#REF!</v>
      </c>
      <c r="O36" s="21" t="e">
        <f>#REF!/#REF!</f>
        <v>#REF!</v>
      </c>
      <c r="P36" s="21" t="e">
        <f>#REF!/#REF!</f>
        <v>#REF!</v>
      </c>
      <c r="Q36" s="21" t="e">
        <f>#REF!/#REF!</f>
        <v>#REF!</v>
      </c>
      <c r="R36" s="21" t="e">
        <f>#REF!/#REF!</f>
        <v>#REF!</v>
      </c>
      <c r="S36" s="21" t="e">
        <f>#REF!/#REF!</f>
        <v>#REF!</v>
      </c>
      <c r="T36" s="21" t="e">
        <f>#REF!/#REF!</f>
        <v>#REF!</v>
      </c>
      <c r="U36" s="21" t="e">
        <f>#REF!/#REF!</f>
        <v>#REF!</v>
      </c>
      <c r="V36" s="21">
        <f t="shared" ref="V36:AB41" si="34">B36/B$41</f>
        <v>9.6420983820885795E-3</v>
      </c>
      <c r="W36" s="21">
        <f t="shared" si="34"/>
        <v>7.4222978197000158E-3</v>
      </c>
      <c r="X36" s="21">
        <f t="shared" si="34"/>
        <v>7.67710550319246E-3</v>
      </c>
      <c r="Y36" s="21">
        <f t="shared" si="34"/>
        <v>6.5929235953410001E-3</v>
      </c>
      <c r="Z36" s="21">
        <f t="shared" si="34"/>
        <v>5.9611364868003419E-3</v>
      </c>
      <c r="AA36" s="21">
        <f t="shared" si="34"/>
        <v>5.0316383319356549E-3</v>
      </c>
      <c r="AB36" s="21">
        <f t="shared" si="34"/>
        <v>4.2864936481957772E-3</v>
      </c>
      <c r="AC36" s="21" t="e">
        <f t="shared" ref="AC36:AC41" si="35">I36/I$41</f>
        <v>#DIV/0!</v>
      </c>
      <c r="AD36" s="21">
        <f t="shared" ref="AD36:AD41" si="36">SUM(C36:G36)/SUM(C$41:G$41)</f>
        <v>6.5374382364120102E-3</v>
      </c>
      <c r="AE36" s="2"/>
    </row>
    <row r="37" spans="1:31" ht="15" x14ac:dyDescent="0.2">
      <c r="A37" s="37" t="s">
        <v>89</v>
      </c>
      <c r="B37" s="170">
        <v>4.2</v>
      </c>
      <c r="C37" s="170">
        <v>4.2</v>
      </c>
      <c r="D37" s="170">
        <v>4.2</v>
      </c>
      <c r="E37" s="170">
        <v>4.2</v>
      </c>
      <c r="F37" s="170">
        <v>4.2</v>
      </c>
      <c r="G37" s="170">
        <v>4.2</v>
      </c>
      <c r="H37" s="170">
        <v>4.2</v>
      </c>
      <c r="I37" s="107"/>
      <c r="J37" s="21">
        <f t="shared" si="33"/>
        <v>2.979522353384115E-17</v>
      </c>
      <c r="K37" s="37" t="str">
        <f>A37</f>
        <v>Goodwill</v>
      </c>
      <c r="L37" s="21" t="e">
        <f>#REF!/#REF!</f>
        <v>#REF!</v>
      </c>
      <c r="M37" s="21" t="e">
        <f>#REF!/#REF!</f>
        <v>#REF!</v>
      </c>
      <c r="N37" s="21" t="e">
        <f>#REF!/#REF!</f>
        <v>#REF!</v>
      </c>
      <c r="O37" s="21" t="e">
        <f>#REF!/#REF!</f>
        <v>#REF!</v>
      </c>
      <c r="P37" s="21" t="e">
        <f>#REF!/#REF!</f>
        <v>#REF!</v>
      </c>
      <c r="Q37" s="21" t="e">
        <f>#REF!/#REF!</f>
        <v>#REF!</v>
      </c>
      <c r="R37" s="21" t="e">
        <f>#REF!/#REF!</f>
        <v>#REF!</v>
      </c>
      <c r="S37" s="21" t="e">
        <f>#REF!/#REF!</f>
        <v>#REF!</v>
      </c>
      <c r="T37" s="21" t="e">
        <f>#REF!/#REF!</f>
        <v>#REF!</v>
      </c>
      <c r="U37" s="21" t="e">
        <f>#REF!/#REF!</f>
        <v>#REF!</v>
      </c>
      <c r="V37" s="21">
        <f t="shared" si="34"/>
        <v>3.4319333224383077E-3</v>
      </c>
      <c r="W37" s="21">
        <f t="shared" si="34"/>
        <v>3.2472552961187572E-3</v>
      </c>
      <c r="X37" s="21">
        <f t="shared" si="34"/>
        <v>3.192459714198845E-3</v>
      </c>
      <c r="Y37" s="21">
        <f t="shared" si="34"/>
        <v>3.0766976778258E-3</v>
      </c>
      <c r="Z37" s="21">
        <f t="shared" si="34"/>
        <v>3.2515289928001863E-3</v>
      </c>
      <c r="AA37" s="21">
        <f t="shared" si="34"/>
        <v>3.2019516657772352E-3</v>
      </c>
      <c r="AB37" s="21">
        <f t="shared" si="34"/>
        <v>3.2733224222585935E-3</v>
      </c>
      <c r="AC37" s="21" t="e">
        <f t="shared" si="35"/>
        <v>#DIV/0!</v>
      </c>
      <c r="AD37" s="21">
        <f t="shared" si="36"/>
        <v>3.1927023945267957E-3</v>
      </c>
      <c r="AE37" s="2"/>
    </row>
    <row r="38" spans="1:31" ht="15" x14ac:dyDescent="0.2">
      <c r="A38" s="37" t="s">
        <v>143</v>
      </c>
      <c r="B38" s="167">
        <v>28.1</v>
      </c>
      <c r="C38" s="167">
        <v>27.9</v>
      </c>
      <c r="D38" s="167">
        <v>27.3</v>
      </c>
      <c r="E38" s="167">
        <v>26.5</v>
      </c>
      <c r="F38" s="167">
        <v>25.6</v>
      </c>
      <c r="G38" s="167">
        <v>24.7</v>
      </c>
      <c r="H38" s="167">
        <v>23.9</v>
      </c>
      <c r="I38" s="75"/>
      <c r="J38" s="25">
        <f t="shared" si="33"/>
        <v>-3.0475608700491812E-2</v>
      </c>
      <c r="K38" s="37" t="str">
        <f>A38</f>
        <v>Investment in Unconsolidated Affiliates</v>
      </c>
      <c r="L38" s="21" t="e">
        <f>#REF!/#REF!</f>
        <v>#REF!</v>
      </c>
      <c r="M38" s="21" t="e">
        <f>#REF!/#REF!</f>
        <v>#REF!</v>
      </c>
      <c r="N38" s="21" t="e">
        <f>#REF!/#REF!</f>
        <v>#REF!</v>
      </c>
      <c r="O38" s="21" t="e">
        <f>#REF!/#REF!</f>
        <v>#REF!</v>
      </c>
      <c r="P38" s="21" t="e">
        <f>#REF!/#REF!</f>
        <v>#REF!</v>
      </c>
      <c r="Q38" s="21" t="e">
        <f>#REF!/#REF!</f>
        <v>#REF!</v>
      </c>
      <c r="R38" s="21" t="e">
        <f>#REF!/#REF!</f>
        <v>#REF!</v>
      </c>
      <c r="S38" s="21" t="e">
        <f>#REF!/#REF!</f>
        <v>#REF!</v>
      </c>
      <c r="T38" s="21" t="e">
        <f>#REF!/#REF!</f>
        <v>#REF!</v>
      </c>
      <c r="U38" s="21" t="e">
        <f>#REF!/#REF!</f>
        <v>#REF!</v>
      </c>
      <c r="V38" s="21">
        <f t="shared" si="34"/>
        <v>2.2961268181075346E-2</v>
      </c>
      <c r="W38" s="21">
        <f t="shared" si="34"/>
        <v>2.1571053038503173E-2</v>
      </c>
      <c r="X38" s="21">
        <f t="shared" si="34"/>
        <v>2.0750988142292492E-2</v>
      </c>
      <c r="Y38" s="21">
        <f t="shared" si="34"/>
        <v>1.94124972529485E-2</v>
      </c>
      <c r="Z38" s="21">
        <f t="shared" si="34"/>
        <v>1.9818843384686851E-2</v>
      </c>
      <c r="AA38" s="21">
        <f t="shared" si="34"/>
        <v>1.8830525272547072E-2</v>
      </c>
      <c r="AB38" s="21">
        <f t="shared" si="34"/>
        <v>1.8626763307614376E-2</v>
      </c>
      <c r="AC38" s="21" t="e">
        <f t="shared" si="35"/>
        <v>#DIV/0!</v>
      </c>
      <c r="AD38" s="25">
        <f t="shared" si="36"/>
        <v>2.0068415051311288E-2</v>
      </c>
      <c r="AE38" s="2"/>
    </row>
    <row r="39" spans="1:31" ht="15" x14ac:dyDescent="0.2">
      <c r="A39" s="37" t="s">
        <v>72</v>
      </c>
      <c r="B39" s="168">
        <f t="shared" ref="B39:C39" si="37">SUM(B36:B38)</f>
        <v>44.1</v>
      </c>
      <c r="C39" s="168">
        <f t="shared" si="37"/>
        <v>41.7</v>
      </c>
      <c r="D39" s="168">
        <f t="shared" ref="D39:E39" si="38">SUM(D36:D38)</f>
        <v>41.6</v>
      </c>
      <c r="E39" s="168">
        <f t="shared" si="38"/>
        <v>39.700000000000003</v>
      </c>
      <c r="F39" s="168">
        <f t="shared" ref="F39:G39" si="39">SUM(F36:F38)</f>
        <v>37.5</v>
      </c>
      <c r="G39" s="168">
        <f t="shared" si="39"/>
        <v>35.5</v>
      </c>
      <c r="H39" s="168">
        <f t="shared" ref="H39" si="40">SUM(H36:H38)</f>
        <v>33.599999999999994</v>
      </c>
      <c r="I39" s="106">
        <f t="shared" ref="I39" si="41">SUM(I36:I38)</f>
        <v>0</v>
      </c>
      <c r="J39" s="65">
        <f t="shared" si="33"/>
        <v>-4.2275396287033008E-2</v>
      </c>
      <c r="K39" s="37" t="s">
        <v>72</v>
      </c>
      <c r="L39" s="44" t="e">
        <f>#REF!/#REF!</f>
        <v>#REF!</v>
      </c>
      <c r="M39" s="44" t="e">
        <f>#REF!/#REF!</f>
        <v>#REF!</v>
      </c>
      <c r="N39" s="44" t="e">
        <f>#REF!/#REF!</f>
        <v>#REF!</v>
      </c>
      <c r="O39" s="44" t="e">
        <f>#REF!/#REF!</f>
        <v>#REF!</v>
      </c>
      <c r="P39" s="44" t="e">
        <f>#REF!/#REF!</f>
        <v>#REF!</v>
      </c>
      <c r="Q39" s="44" t="e">
        <f>#REF!/#REF!</f>
        <v>#REF!</v>
      </c>
      <c r="R39" s="44" t="e">
        <f>#REF!/#REF!</f>
        <v>#REF!</v>
      </c>
      <c r="S39" s="44" t="e">
        <f>#REF!/#REF!</f>
        <v>#REF!</v>
      </c>
      <c r="T39" s="44" t="e">
        <f>#REF!/#REF!</f>
        <v>#REF!</v>
      </c>
      <c r="U39" s="44" t="e">
        <f>#REF!/#REF!</f>
        <v>#REF!</v>
      </c>
      <c r="V39" s="44">
        <f t="shared" si="34"/>
        <v>3.603529988560223E-2</v>
      </c>
      <c r="W39" s="44">
        <f t="shared" si="34"/>
        <v>3.2240606154321949E-2</v>
      </c>
      <c r="X39" s="44">
        <f t="shared" si="34"/>
        <v>3.1620553359683799E-2</v>
      </c>
      <c r="Y39" s="44">
        <f t="shared" si="34"/>
        <v>2.9082118526115301E-2</v>
      </c>
      <c r="Z39" s="44">
        <f t="shared" si="34"/>
        <v>2.9031508864287379E-2</v>
      </c>
      <c r="AA39" s="44">
        <f t="shared" si="34"/>
        <v>2.7064115270259963E-2</v>
      </c>
      <c r="AB39" s="44">
        <f t="shared" si="34"/>
        <v>2.6186579378068741E-2</v>
      </c>
      <c r="AC39" s="44" t="e">
        <f t="shared" si="35"/>
        <v>#DIV/0!</v>
      </c>
      <c r="AD39" s="65">
        <f t="shared" si="36"/>
        <v>2.9798555682250094E-2</v>
      </c>
      <c r="AE39" s="2"/>
    </row>
    <row r="40" spans="1:31" ht="15" x14ac:dyDescent="0.2">
      <c r="A40" s="37" t="s">
        <v>43</v>
      </c>
      <c r="B40" s="168">
        <f t="shared" ref="B40:C40" si="42">B33+B39</f>
        <v>1131.3999999999996</v>
      </c>
      <c r="C40" s="168">
        <f t="shared" si="42"/>
        <v>1207.8</v>
      </c>
      <c r="D40" s="168">
        <f t="shared" ref="D40:E40" si="43">D33+D39</f>
        <v>1245.3</v>
      </c>
      <c r="E40" s="168">
        <f t="shared" si="43"/>
        <v>1250.5000000000002</v>
      </c>
      <c r="F40" s="168">
        <f t="shared" ref="F40:G40" si="44">F33+F39</f>
        <v>1184.5999999999999</v>
      </c>
      <c r="G40" s="168">
        <f t="shared" si="44"/>
        <v>1189.3000000000002</v>
      </c>
      <c r="H40" s="168">
        <f t="shared" ref="H40" si="45">H33+H39</f>
        <v>1174.9999999999998</v>
      </c>
      <c r="I40" s="106">
        <f t="shared" ref="I40" si="46">I33+I39</f>
        <v>0</v>
      </c>
      <c r="J40" s="65">
        <f t="shared" si="33"/>
        <v>-5.4913422142715915E-3</v>
      </c>
      <c r="K40" s="37" t="s">
        <v>43</v>
      </c>
      <c r="L40" s="44" t="e">
        <f>#REF!/#REF!</f>
        <v>#REF!</v>
      </c>
      <c r="M40" s="44" t="e">
        <f>#REF!/#REF!</f>
        <v>#REF!</v>
      </c>
      <c r="N40" s="44" t="e">
        <f>#REF!/#REF!</f>
        <v>#REF!</v>
      </c>
      <c r="O40" s="44" t="e">
        <f>#REF!/#REF!</f>
        <v>#REF!</v>
      </c>
      <c r="P40" s="44" t="e">
        <f>#REF!/#REF!</f>
        <v>#REF!</v>
      </c>
      <c r="Q40" s="44" t="e">
        <f>#REF!/#REF!</f>
        <v>#REF!</v>
      </c>
      <c r="R40" s="44" t="e">
        <f>#REF!/#REF!</f>
        <v>#REF!</v>
      </c>
      <c r="S40" s="44" t="e">
        <f>#REF!/#REF!</f>
        <v>#REF!</v>
      </c>
      <c r="T40" s="44" t="e">
        <f>#REF!/#REF!</f>
        <v>#REF!</v>
      </c>
      <c r="U40" s="44" t="e">
        <f>#REF!/#REF!</f>
        <v>#REF!</v>
      </c>
      <c r="V40" s="44">
        <f t="shared" si="34"/>
        <v>0.92449746690635715</v>
      </c>
      <c r="W40" s="44">
        <f t="shared" si="34"/>
        <v>0.93381784444100824</v>
      </c>
      <c r="X40" s="44">
        <f t="shared" si="34"/>
        <v>0.94656430525995749</v>
      </c>
      <c r="Y40" s="44">
        <f t="shared" si="34"/>
        <v>0.9160501062193247</v>
      </c>
      <c r="Z40" s="44">
        <f t="shared" si="34"/>
        <v>0.9170860106835953</v>
      </c>
      <c r="AA40" s="44">
        <f t="shared" si="34"/>
        <v>0.90668598002592049</v>
      </c>
      <c r="AB40" s="44">
        <f t="shared" si="34"/>
        <v>0.91575091575091583</v>
      </c>
      <c r="AC40" s="44" t="e">
        <f t="shared" si="35"/>
        <v>#DIV/0!</v>
      </c>
      <c r="AD40" s="65">
        <f t="shared" si="36"/>
        <v>0.92398327632079069</v>
      </c>
      <c r="AE40" s="2"/>
    </row>
    <row r="41" spans="1:31" ht="15.75" thickBot="1" x14ac:dyDescent="0.25">
      <c r="A41" s="37" t="s">
        <v>38</v>
      </c>
      <c r="B41" s="168">
        <f t="shared" ref="B41" si="47">B21+B33+B39</f>
        <v>1223.7999999999997</v>
      </c>
      <c r="C41" s="168">
        <f t="shared" ref="C41:E41" si="48">C21+C33+C39</f>
        <v>1293.3999999999999</v>
      </c>
      <c r="D41" s="168">
        <f t="shared" ref="D41" si="49">D21+D33+D39</f>
        <v>1315.6</v>
      </c>
      <c r="E41" s="168">
        <f t="shared" si="48"/>
        <v>1365.1000000000001</v>
      </c>
      <c r="F41" s="168">
        <f t="shared" ref="F41:G41" si="50">F21+F33+F39</f>
        <v>1291.6999999999998</v>
      </c>
      <c r="G41" s="168">
        <f t="shared" si="50"/>
        <v>1311.7000000000003</v>
      </c>
      <c r="H41" s="168">
        <f t="shared" ref="H41" si="51">H21+H33+H39</f>
        <v>1283.0999999999997</v>
      </c>
      <c r="I41" s="106">
        <f t="shared" ref="I41" si="52">I21+I33+I39</f>
        <v>0</v>
      </c>
      <c r="J41" s="45">
        <f t="shared" si="33"/>
        <v>-1.5977991798557334E-3</v>
      </c>
      <c r="K41" s="37" t="s">
        <v>38</v>
      </c>
      <c r="L41" s="45" t="e">
        <f>#REF!/#REF!</f>
        <v>#REF!</v>
      </c>
      <c r="M41" s="45" t="e">
        <f>#REF!/#REF!</f>
        <v>#REF!</v>
      </c>
      <c r="N41" s="45" t="e">
        <f>#REF!/#REF!</f>
        <v>#REF!</v>
      </c>
      <c r="O41" s="45" t="e">
        <f>#REF!/#REF!</f>
        <v>#REF!</v>
      </c>
      <c r="P41" s="45" t="e">
        <f>#REF!/#REF!</f>
        <v>#REF!</v>
      </c>
      <c r="Q41" s="45" t="e">
        <f>#REF!/#REF!</f>
        <v>#REF!</v>
      </c>
      <c r="R41" s="45" t="e">
        <f>#REF!/#REF!</f>
        <v>#REF!</v>
      </c>
      <c r="S41" s="45" t="e">
        <f>#REF!/#REF!</f>
        <v>#REF!</v>
      </c>
      <c r="T41" s="45" t="e">
        <f>#REF!/#REF!</f>
        <v>#REF!</v>
      </c>
      <c r="U41" s="45" t="e">
        <f>#REF!/#REF!</f>
        <v>#REF!</v>
      </c>
      <c r="V41" s="45">
        <f t="shared" si="34"/>
        <v>1</v>
      </c>
      <c r="W41" s="45">
        <f t="shared" si="34"/>
        <v>1</v>
      </c>
      <c r="X41" s="45">
        <f t="shared" si="34"/>
        <v>1</v>
      </c>
      <c r="Y41" s="45">
        <f t="shared" si="34"/>
        <v>1</v>
      </c>
      <c r="Z41" s="45">
        <f t="shared" si="34"/>
        <v>1</v>
      </c>
      <c r="AA41" s="45">
        <f t="shared" si="34"/>
        <v>1</v>
      </c>
      <c r="AB41" s="45">
        <f t="shared" si="34"/>
        <v>1</v>
      </c>
      <c r="AC41" s="45" t="e">
        <f t="shared" si="35"/>
        <v>#DIV/0!</v>
      </c>
      <c r="AD41" s="45">
        <f t="shared" si="36"/>
        <v>1</v>
      </c>
      <c r="AE41" s="2"/>
    </row>
    <row r="42" spans="1:31" ht="15.75" thickTop="1" x14ac:dyDescent="0.2">
      <c r="A42" s="37"/>
      <c r="B42" s="171">
        <f t="shared" ref="B42:E42" si="53">+B41-B69</f>
        <v>0</v>
      </c>
      <c r="C42" s="171">
        <f t="shared" si="53"/>
        <v>0</v>
      </c>
      <c r="D42" s="171">
        <f t="shared" si="53"/>
        <v>0</v>
      </c>
      <c r="E42" s="171">
        <f t="shared" si="53"/>
        <v>0</v>
      </c>
      <c r="F42" s="171">
        <f>+F41-F69</f>
        <v>0</v>
      </c>
      <c r="G42" s="171">
        <f>+G41-G69</f>
        <v>0</v>
      </c>
      <c r="H42" s="171">
        <f>+H41-H69</f>
        <v>0</v>
      </c>
      <c r="I42" s="108">
        <f>+I41-I69</f>
        <v>0</v>
      </c>
      <c r="J42" s="21"/>
      <c r="K42" s="37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21"/>
      <c r="AE42" s="2"/>
    </row>
    <row r="43" spans="1:31" ht="15.75" x14ac:dyDescent="0.25">
      <c r="A43" s="61" t="s">
        <v>8</v>
      </c>
      <c r="B43" s="172"/>
      <c r="C43" s="172"/>
      <c r="D43" s="172"/>
      <c r="E43" s="172"/>
      <c r="F43" s="172"/>
      <c r="G43" s="172"/>
      <c r="H43" s="172"/>
      <c r="I43" s="94"/>
      <c r="J43" s="21"/>
      <c r="K43" s="49" t="s">
        <v>8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"/>
    </row>
    <row r="44" spans="1:31" ht="15" x14ac:dyDescent="0.2">
      <c r="A44" s="41" t="s">
        <v>90</v>
      </c>
      <c r="B44" s="167">
        <v>0.2</v>
      </c>
      <c r="C44" s="167"/>
      <c r="D44" s="167"/>
      <c r="E44" s="167"/>
      <c r="F44" s="167"/>
      <c r="G44" s="167"/>
      <c r="H44" s="167"/>
      <c r="I44" s="75"/>
      <c r="J44" s="21"/>
      <c r="K44" s="37" t="str">
        <f>A44</f>
        <v>Notes Payable to Questar</v>
      </c>
      <c r="L44" s="21" t="e">
        <f>#REF!/#REF!</f>
        <v>#REF!</v>
      </c>
      <c r="M44" s="21" t="e">
        <f>#REF!/#REF!</f>
        <v>#REF!</v>
      </c>
      <c r="N44" s="21" t="e">
        <f>#REF!/#REF!</f>
        <v>#REF!</v>
      </c>
      <c r="O44" s="21" t="e">
        <f>#REF!/#REF!</f>
        <v>#REF!</v>
      </c>
      <c r="P44" s="21" t="e">
        <f>#REF!/#REF!</f>
        <v>#REF!</v>
      </c>
      <c r="Q44" s="21" t="e">
        <f>#REF!/#REF!</f>
        <v>#REF!</v>
      </c>
      <c r="R44" s="21" t="e">
        <f>#REF!/#REF!</f>
        <v>#REF!</v>
      </c>
      <c r="S44" s="21" t="e">
        <f>#REF!/#REF!</f>
        <v>#REF!</v>
      </c>
      <c r="T44" s="21" t="e">
        <f>#REF!/#REF!</f>
        <v>#REF!</v>
      </c>
      <c r="U44" s="21" t="e">
        <f>#REF!/#REF!</f>
        <v>#REF!</v>
      </c>
      <c r="V44" s="21">
        <f t="shared" ref="V44" si="54">B44/B$41</f>
        <v>1.634253963065861E-4</v>
      </c>
      <c r="W44" s="21"/>
      <c r="X44" s="21"/>
      <c r="Y44" s="21"/>
      <c r="Z44" s="21"/>
      <c r="AA44" s="21"/>
      <c r="AB44" s="21"/>
      <c r="AC44" s="21"/>
      <c r="AD44" s="21"/>
      <c r="AE44" s="2"/>
    </row>
    <row r="45" spans="1:31" ht="15" x14ac:dyDescent="0.2">
      <c r="A45" s="46" t="s">
        <v>110</v>
      </c>
      <c r="B45" s="167"/>
      <c r="C45" s="167">
        <v>180</v>
      </c>
      <c r="D45" s="167"/>
      <c r="E45" s="167"/>
      <c r="F45" s="167"/>
      <c r="G45" s="167">
        <v>25.1</v>
      </c>
      <c r="H45" s="167"/>
      <c r="I45" s="75"/>
      <c r="J45" s="21"/>
      <c r="K45" s="37" t="str">
        <f>A45</f>
        <v>Current Portion, LTD</v>
      </c>
      <c r="L45" s="21"/>
      <c r="M45" s="21" t="e">
        <f>#REF!/#REF!</f>
        <v>#REF!</v>
      </c>
      <c r="N45" s="21" t="e">
        <f>#REF!/#REF!</f>
        <v>#REF!</v>
      </c>
      <c r="O45" s="21" t="e">
        <f>#REF!/#REF!</f>
        <v>#REF!</v>
      </c>
      <c r="P45" s="21" t="e">
        <f>#REF!/#REF!</f>
        <v>#REF!</v>
      </c>
      <c r="Q45" s="21" t="e">
        <f>#REF!/#REF!</f>
        <v>#REF!</v>
      </c>
      <c r="R45" s="21" t="e">
        <f>#REF!/#REF!</f>
        <v>#REF!</v>
      </c>
      <c r="S45" s="21" t="e">
        <f>#REF!/#REF!</f>
        <v>#REF!</v>
      </c>
      <c r="T45" s="21" t="e">
        <f>#REF!/#REF!</f>
        <v>#REF!</v>
      </c>
      <c r="U45" s="21" t="e">
        <f>#REF!/#REF!</f>
        <v>#REF!</v>
      </c>
      <c r="V45" s="21"/>
      <c r="W45" s="21">
        <f>C45/C$41</f>
        <v>0.13916808411937531</v>
      </c>
      <c r="X45" s="21"/>
      <c r="Y45" s="21"/>
      <c r="Z45" s="21"/>
      <c r="AA45" s="21"/>
      <c r="AB45" s="21"/>
      <c r="AC45" s="21"/>
      <c r="AD45" s="21">
        <f t="shared" ref="AD45:AD47" si="55">SUM(C45:G45)/SUM(C$41:G$41)</f>
        <v>3.1182060053211707E-2</v>
      </c>
      <c r="AE45" s="2"/>
    </row>
    <row r="46" spans="1:31" ht="15" x14ac:dyDescent="0.2">
      <c r="A46" s="37" t="s">
        <v>91</v>
      </c>
      <c r="B46" s="167">
        <v>29.1</v>
      </c>
      <c r="C46" s="167">
        <v>40</v>
      </c>
      <c r="D46" s="167">
        <v>29.7</v>
      </c>
      <c r="E46" s="167">
        <v>23.6</v>
      </c>
      <c r="F46" s="167">
        <v>7.5</v>
      </c>
      <c r="G46" s="167">
        <v>9.6999999999999993</v>
      </c>
      <c r="H46" s="167">
        <v>7.7</v>
      </c>
      <c r="I46" s="75"/>
      <c r="J46" s="21">
        <f t="shared" ref="J46:J47" si="56">RATE(5,,-C46,H46)</f>
        <v>-0.28073960567935458</v>
      </c>
      <c r="K46" s="37" t="str">
        <f>A46</f>
        <v>Acounts Payable</v>
      </c>
      <c r="L46" s="21" t="e">
        <f>#REF!/#REF!</f>
        <v>#REF!</v>
      </c>
      <c r="M46" s="21" t="e">
        <f>#REF!/#REF!</f>
        <v>#REF!</v>
      </c>
      <c r="N46" s="21" t="e">
        <f>#REF!/#REF!</f>
        <v>#REF!</v>
      </c>
      <c r="O46" s="21" t="e">
        <f>#REF!/#REF!</f>
        <v>#REF!</v>
      </c>
      <c r="P46" s="21" t="e">
        <f>#REF!/#REF!</f>
        <v>#REF!</v>
      </c>
      <c r="Q46" s="21" t="e">
        <f>#REF!/#REF!</f>
        <v>#REF!</v>
      </c>
      <c r="R46" s="21" t="e">
        <f>#REF!/#REF!</f>
        <v>#REF!</v>
      </c>
      <c r="S46" s="21" t="e">
        <f>#REF!/#REF!</f>
        <v>#REF!</v>
      </c>
      <c r="T46" s="21" t="e">
        <f>#REF!/#REF!</f>
        <v>#REF!</v>
      </c>
      <c r="U46" s="21" t="e">
        <f>#REF!/#REF!</f>
        <v>#REF!</v>
      </c>
      <c r="V46" s="21">
        <f>B46/B$41</f>
        <v>2.3778395162608275E-2</v>
      </c>
      <c r="W46" s="21">
        <f>C46/C$41</f>
        <v>3.0926240915416733E-2</v>
      </c>
      <c r="X46" s="21">
        <f t="shared" ref="X46:AB47" si="57">D46/D$41</f>
        <v>2.2575250836120404E-2</v>
      </c>
      <c r="Y46" s="21">
        <f t="shared" si="57"/>
        <v>1.7288110761116401E-2</v>
      </c>
      <c r="Z46" s="21">
        <f t="shared" si="57"/>
        <v>5.8063017728574758E-3</v>
      </c>
      <c r="AA46" s="21">
        <f t="shared" si="57"/>
        <v>7.3949836090569472E-3</v>
      </c>
      <c r="AB46" s="21">
        <f t="shared" si="57"/>
        <v>6.0010911074740879E-3</v>
      </c>
      <c r="AC46" s="21" t="e">
        <f t="shared" ref="AC46:AC47" si="58">I46/I$41</f>
        <v>#DIV/0!</v>
      </c>
      <c r="AD46" s="21">
        <f t="shared" si="55"/>
        <v>1.6799695933105284E-2</v>
      </c>
      <c r="AE46" s="2"/>
    </row>
    <row r="47" spans="1:31" ht="15" x14ac:dyDescent="0.2">
      <c r="A47" s="37" t="s">
        <v>92</v>
      </c>
      <c r="B47" s="167">
        <v>2.8</v>
      </c>
      <c r="C47" s="167">
        <v>4.7</v>
      </c>
      <c r="D47" s="167">
        <v>5.5</v>
      </c>
      <c r="E47" s="167">
        <v>16.899999999999999</v>
      </c>
      <c r="F47" s="167">
        <v>9.4</v>
      </c>
      <c r="G47" s="167">
        <v>5.8</v>
      </c>
      <c r="H47" s="167">
        <v>15.8</v>
      </c>
      <c r="I47" s="75"/>
      <c r="J47" s="21">
        <f t="shared" si="56"/>
        <v>0.27441785019936249</v>
      </c>
      <c r="K47" s="37" t="str">
        <f>A47</f>
        <v>Acounts Payable, Affiliates</v>
      </c>
      <c r="L47" s="21" t="e">
        <f>#REF!/#REF!</f>
        <v>#REF!</v>
      </c>
      <c r="M47" s="21" t="e">
        <f>#REF!/#REF!</f>
        <v>#REF!</v>
      </c>
      <c r="N47" s="21" t="e">
        <f>#REF!/#REF!</f>
        <v>#REF!</v>
      </c>
      <c r="O47" s="21" t="e">
        <f>#REF!/#REF!</f>
        <v>#REF!</v>
      </c>
      <c r="P47" s="21" t="e">
        <f>#REF!/#REF!</f>
        <v>#REF!</v>
      </c>
      <c r="Q47" s="21" t="e">
        <f>#REF!/#REF!</f>
        <v>#REF!</v>
      </c>
      <c r="R47" s="21" t="e">
        <f>#REF!/#REF!</f>
        <v>#REF!</v>
      </c>
      <c r="S47" s="21" t="e">
        <f>#REF!/#REF!</f>
        <v>#REF!</v>
      </c>
      <c r="T47" s="21" t="e">
        <f>#REF!/#REF!</f>
        <v>#REF!</v>
      </c>
      <c r="U47" s="21" t="e">
        <f>#REF!/#REF!</f>
        <v>#REF!</v>
      </c>
      <c r="V47" s="21">
        <f>B47/B$41</f>
        <v>2.287955548292205E-3</v>
      </c>
      <c r="W47" s="21">
        <f>C47/C$41</f>
        <v>3.6338333075614663E-3</v>
      </c>
      <c r="X47" s="21">
        <f t="shared" si="57"/>
        <v>4.1806020066889639E-3</v>
      </c>
      <c r="Y47" s="21">
        <f t="shared" si="57"/>
        <v>1.2380045417918099E-2</v>
      </c>
      <c r="Z47" s="21">
        <f t="shared" si="57"/>
        <v>7.2772315553147025E-3</v>
      </c>
      <c r="AA47" s="21">
        <f t="shared" si="57"/>
        <v>4.421742776549515E-3</v>
      </c>
      <c r="AB47" s="21">
        <f t="shared" si="57"/>
        <v>1.2313927207544232E-2</v>
      </c>
      <c r="AC47" s="21" t="e">
        <f t="shared" si="58"/>
        <v>#DIV/0!</v>
      </c>
      <c r="AD47" s="21">
        <f t="shared" si="55"/>
        <v>6.4310148232611169E-3</v>
      </c>
      <c r="AE47" s="2"/>
    </row>
    <row r="48" spans="1:31" ht="15" x14ac:dyDescent="0.2">
      <c r="A48" s="37" t="s">
        <v>196</v>
      </c>
      <c r="B48" s="167"/>
      <c r="C48" s="167"/>
      <c r="D48" s="167"/>
      <c r="E48" s="167"/>
      <c r="F48" s="167"/>
      <c r="G48" s="167">
        <v>16</v>
      </c>
      <c r="H48" s="167"/>
      <c r="I48" s="75"/>
      <c r="J48" s="21"/>
      <c r="K48" s="37" t="str">
        <f>+A48</f>
        <v>Dividends Payable to Questar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"/>
    </row>
    <row r="49" spans="1:31" ht="15" x14ac:dyDescent="0.2">
      <c r="A49" s="46" t="s">
        <v>201</v>
      </c>
      <c r="B49" s="167">
        <v>2.4</v>
      </c>
      <c r="C49" s="167">
        <v>2.4</v>
      </c>
      <c r="D49" s="167">
        <v>2</v>
      </c>
      <c r="E49" s="167">
        <v>2.1</v>
      </c>
      <c r="F49" s="167">
        <v>2.1</v>
      </c>
      <c r="G49" s="167">
        <v>2.1</v>
      </c>
      <c r="H49" s="167">
        <v>2</v>
      </c>
      <c r="I49" s="75"/>
      <c r="J49" s="21">
        <f>RATE(5,,-C49,H49)</f>
        <v>-3.5807495997299793E-2</v>
      </c>
      <c r="K49" s="37" t="str">
        <f>A49</f>
        <v>Interest Payable</v>
      </c>
      <c r="L49" s="21" t="e">
        <f>#REF!/#REF!</f>
        <v>#REF!</v>
      </c>
      <c r="M49" s="21" t="e">
        <f>#REF!/#REF!</f>
        <v>#REF!</v>
      </c>
      <c r="N49" s="21" t="e">
        <f>#REF!/#REF!</f>
        <v>#REF!</v>
      </c>
      <c r="O49" s="21" t="e">
        <f>#REF!/#REF!</f>
        <v>#REF!</v>
      </c>
      <c r="P49" s="21" t="e">
        <f>#REF!/#REF!</f>
        <v>#REF!</v>
      </c>
      <c r="Q49" s="21" t="e">
        <f>#REF!/#REF!</f>
        <v>#REF!</v>
      </c>
      <c r="R49" s="21" t="e">
        <f>#REF!/#REF!</f>
        <v>#REF!</v>
      </c>
      <c r="S49" s="21" t="e">
        <f>#REF!/#REF!</f>
        <v>#REF!</v>
      </c>
      <c r="T49" s="21" t="e">
        <f>#REF!/#REF!</f>
        <v>#REF!</v>
      </c>
      <c r="U49" s="21" t="e">
        <f>#REF!/#REF!</f>
        <v>#REF!</v>
      </c>
      <c r="V49" s="21">
        <f t="shared" ref="V49:AB49" si="59">B49/B$41</f>
        <v>1.9611047556790328E-3</v>
      </c>
      <c r="W49" s="21">
        <f t="shared" si="59"/>
        <v>1.8555744549250039E-3</v>
      </c>
      <c r="X49" s="21">
        <f t="shared" si="59"/>
        <v>1.5202189115232595E-3</v>
      </c>
      <c r="Y49" s="21">
        <f t="shared" si="59"/>
        <v>1.5383488389129E-3</v>
      </c>
      <c r="Z49" s="21">
        <f t="shared" si="59"/>
        <v>1.6257644964000932E-3</v>
      </c>
      <c r="AA49" s="21">
        <f t="shared" si="59"/>
        <v>1.6009758328886176E-3</v>
      </c>
      <c r="AB49" s="21">
        <f t="shared" si="59"/>
        <v>1.5587249629802826E-3</v>
      </c>
      <c r="AC49" s="21" t="e">
        <f t="shared" ref="AC49" si="60">I49/I$41</f>
        <v>#DIV/0!</v>
      </c>
      <c r="AD49" s="21">
        <f t="shared" ref="AD49" si="61">SUM(C49:G49)/SUM(C$41:G$41)</f>
        <v>1.6267578867350816E-3</v>
      </c>
      <c r="AE49" s="2"/>
    </row>
    <row r="50" spans="1:31" ht="15" x14ac:dyDescent="0.2">
      <c r="A50" s="46" t="s">
        <v>197</v>
      </c>
      <c r="B50" s="167"/>
      <c r="C50" s="167"/>
      <c r="D50" s="167"/>
      <c r="E50" s="167"/>
      <c r="F50" s="167">
        <v>3</v>
      </c>
      <c r="G50" s="167">
        <v>0.9</v>
      </c>
      <c r="H50" s="167">
        <v>2.4</v>
      </c>
      <c r="I50" s="75"/>
      <c r="J50" s="21"/>
      <c r="K50" s="37" t="str">
        <f>A50</f>
        <v>Current Regulatory Liabilities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"/>
    </row>
    <row r="51" spans="1:31" ht="15" x14ac:dyDescent="0.2">
      <c r="A51" s="37" t="s">
        <v>64</v>
      </c>
      <c r="B51" s="173">
        <v>3.5</v>
      </c>
      <c r="C51" s="173">
        <v>3.2</v>
      </c>
      <c r="D51" s="173">
        <v>1.2</v>
      </c>
      <c r="E51" s="173">
        <v>1.5</v>
      </c>
      <c r="F51" s="173">
        <f>13.1+2.9</f>
        <v>16</v>
      </c>
      <c r="G51" s="173">
        <v>9.9</v>
      </c>
      <c r="H51" s="173">
        <v>6.4</v>
      </c>
      <c r="I51" s="109"/>
      <c r="J51" s="25">
        <f t="shared" ref="J51:J52" si="62">RATE(5,,-C51,H51)</f>
        <v>0.14869835499702119</v>
      </c>
      <c r="K51" s="37" t="str">
        <f>A51</f>
        <v xml:space="preserve">Other </v>
      </c>
      <c r="L51" s="42" t="e">
        <f>#REF!/#REF!</f>
        <v>#REF!</v>
      </c>
      <c r="M51" s="42" t="e">
        <f>#REF!/#REF!</f>
        <v>#REF!</v>
      </c>
      <c r="N51" s="42" t="e">
        <f>#REF!/#REF!</f>
        <v>#REF!</v>
      </c>
      <c r="O51" s="42" t="e">
        <f>#REF!/#REF!</f>
        <v>#REF!</v>
      </c>
      <c r="P51" s="42" t="e">
        <f>#REF!/#REF!</f>
        <v>#REF!</v>
      </c>
      <c r="Q51" s="42" t="e">
        <f>#REF!/#REF!</f>
        <v>#REF!</v>
      </c>
      <c r="R51" s="42" t="e">
        <f>#REF!/#REF!</f>
        <v>#REF!</v>
      </c>
      <c r="S51" s="42" t="e">
        <f>#REF!/#REF!</f>
        <v>#REF!</v>
      </c>
      <c r="T51" s="42" t="e">
        <f>#REF!/#REF!</f>
        <v>#REF!</v>
      </c>
      <c r="U51" s="42" t="e">
        <f>#REF!/#REF!</f>
        <v>#REF!</v>
      </c>
      <c r="V51" s="42">
        <f t="shared" ref="V51:AB52" si="63">B51/B$41</f>
        <v>2.8599444353652565E-3</v>
      </c>
      <c r="W51" s="42">
        <f t="shared" si="63"/>
        <v>2.4740992732333387E-3</v>
      </c>
      <c r="X51" s="42">
        <f t="shared" si="63"/>
        <v>9.1213134691395562E-4</v>
      </c>
      <c r="Y51" s="42">
        <f t="shared" si="63"/>
        <v>1.0988205992234999E-3</v>
      </c>
      <c r="Z51" s="42">
        <f t="shared" si="63"/>
        <v>1.2386777115429281E-2</v>
      </c>
      <c r="AA51" s="42">
        <f t="shared" si="63"/>
        <v>7.5474574979034828E-3</v>
      </c>
      <c r="AB51" s="42">
        <f t="shared" si="63"/>
        <v>4.9879198815369046E-3</v>
      </c>
      <c r="AC51" s="42" t="e">
        <f t="shared" ref="AC51:AC52" si="64">I51/I$41</f>
        <v>#DIV/0!</v>
      </c>
      <c r="AD51" s="21">
        <f t="shared" ref="AD51:AD52" si="65">SUM(C51:G51)/SUM(C$41:G$41)</f>
        <v>4.8346636259977193E-3</v>
      </c>
      <c r="AE51" s="2"/>
    </row>
    <row r="52" spans="1:31" ht="15" x14ac:dyDescent="0.2">
      <c r="A52" s="37" t="s">
        <v>40</v>
      </c>
      <c r="B52" s="168">
        <f t="shared" ref="B52:C52" si="66">SUM(B43:B51)</f>
        <v>38</v>
      </c>
      <c r="C52" s="168">
        <f t="shared" si="66"/>
        <v>230.29999999999998</v>
      </c>
      <c r="D52" s="168">
        <f t="shared" ref="D52:E52" si="67">SUM(D43:D51)</f>
        <v>38.400000000000006</v>
      </c>
      <c r="E52" s="168">
        <f t="shared" si="67"/>
        <v>44.1</v>
      </c>
      <c r="F52" s="168">
        <f t="shared" ref="F52:G52" si="68">SUM(F43:F51)</f>
        <v>38</v>
      </c>
      <c r="G52" s="168">
        <f t="shared" si="68"/>
        <v>69.5</v>
      </c>
      <c r="H52" s="168">
        <f t="shared" ref="H52" si="69">SUM(H43:H51)</f>
        <v>34.299999999999997</v>
      </c>
      <c r="I52" s="106">
        <f t="shared" ref="I52" si="70">SUM(I43:I51)</f>
        <v>0</v>
      </c>
      <c r="J52" s="21">
        <f t="shared" si="62"/>
        <v>-0.31671791133741817</v>
      </c>
      <c r="K52" s="37" t="s">
        <v>40</v>
      </c>
      <c r="L52" s="21" t="e">
        <f>#REF!/#REF!</f>
        <v>#REF!</v>
      </c>
      <c r="M52" s="21" t="e">
        <f>#REF!/#REF!</f>
        <v>#REF!</v>
      </c>
      <c r="N52" s="21" t="e">
        <f>#REF!/#REF!</f>
        <v>#REF!</v>
      </c>
      <c r="O52" s="21" t="e">
        <f>#REF!/#REF!</f>
        <v>#REF!</v>
      </c>
      <c r="P52" s="21" t="e">
        <f>#REF!/#REF!</f>
        <v>#REF!</v>
      </c>
      <c r="Q52" s="21" t="e">
        <f>#REF!/#REF!</f>
        <v>#REF!</v>
      </c>
      <c r="R52" s="21" t="e">
        <f>#REF!/#REF!</f>
        <v>#REF!</v>
      </c>
      <c r="S52" s="21" t="e">
        <f>#REF!/#REF!</f>
        <v>#REF!</v>
      </c>
      <c r="T52" s="21" t="e">
        <f>#REF!/#REF!</f>
        <v>#REF!</v>
      </c>
      <c r="U52" s="21" t="e">
        <f>#REF!/#REF!</f>
        <v>#REF!</v>
      </c>
      <c r="V52" s="21">
        <f t="shared" si="63"/>
        <v>3.1050825298251355E-2</v>
      </c>
      <c r="W52" s="21">
        <f t="shared" si="63"/>
        <v>0.17805783207051185</v>
      </c>
      <c r="X52" s="21">
        <f t="shared" si="63"/>
        <v>2.9188203101246587E-2</v>
      </c>
      <c r="Y52" s="21">
        <f t="shared" si="63"/>
        <v>3.2305325617170901E-2</v>
      </c>
      <c r="Z52" s="21">
        <f t="shared" si="63"/>
        <v>2.9418595649144542E-2</v>
      </c>
      <c r="AA52" s="21">
        <f t="shared" si="63"/>
        <v>5.2984676374170911E-2</v>
      </c>
      <c r="AB52" s="21">
        <f t="shared" si="63"/>
        <v>2.6732133115111842E-2</v>
      </c>
      <c r="AC52" s="21" t="e">
        <f t="shared" si="64"/>
        <v>#DIV/0!</v>
      </c>
      <c r="AD52" s="21">
        <f t="shared" si="65"/>
        <v>6.3899657924743447E-2</v>
      </c>
      <c r="AE52" s="2"/>
    </row>
    <row r="53" spans="1:31" ht="15" x14ac:dyDescent="0.2">
      <c r="A53" s="37"/>
      <c r="B53" s="167"/>
      <c r="C53" s="167"/>
      <c r="D53" s="167"/>
      <c r="E53" s="167"/>
      <c r="F53" s="167"/>
      <c r="G53" s="167"/>
      <c r="H53" s="167"/>
      <c r="I53" s="75"/>
      <c r="J53" s="21"/>
      <c r="K53" s="37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"/>
    </row>
    <row r="54" spans="1:31" ht="15.75" x14ac:dyDescent="0.25">
      <c r="A54" s="37" t="s">
        <v>60</v>
      </c>
      <c r="B54" s="167">
        <v>461.2</v>
      </c>
      <c r="C54" s="167">
        <v>280.89999999999998</v>
      </c>
      <c r="D54" s="167">
        <v>459</v>
      </c>
      <c r="E54" s="167">
        <v>458.9</v>
      </c>
      <c r="F54" s="167">
        <v>458.9</v>
      </c>
      <c r="G54" s="167">
        <v>433.7</v>
      </c>
      <c r="H54" s="167">
        <v>433.6</v>
      </c>
      <c r="I54" s="75"/>
      <c r="J54" s="21">
        <f t="shared" ref="J54:J57" si="71">RATE(5,,-C54,H54)</f>
        <v>9.0705509412827443E-2</v>
      </c>
      <c r="K54" s="49" t="str">
        <f>A54</f>
        <v>Long-Term Debt</v>
      </c>
      <c r="L54" s="21" t="e">
        <f>#REF!/#REF!</f>
        <v>#REF!</v>
      </c>
      <c r="M54" s="21" t="e">
        <f>#REF!/#REF!</f>
        <v>#REF!</v>
      </c>
      <c r="N54" s="21" t="e">
        <f>#REF!/#REF!</f>
        <v>#REF!</v>
      </c>
      <c r="O54" s="21" t="e">
        <f>#REF!/#REF!</f>
        <v>#REF!</v>
      </c>
      <c r="P54" s="21" t="e">
        <f>#REF!/#REF!</f>
        <v>#REF!</v>
      </c>
      <c r="Q54" s="21" t="e">
        <f>#REF!/#REF!</f>
        <v>#REF!</v>
      </c>
      <c r="R54" s="21" t="e">
        <f>#REF!/#REF!</f>
        <v>#REF!</v>
      </c>
      <c r="S54" s="21" t="e">
        <f>#REF!/#REF!</f>
        <v>#REF!</v>
      </c>
      <c r="T54" s="21" t="e">
        <f>#REF!/#REF!</f>
        <v>#REF!</v>
      </c>
      <c r="U54" s="21" t="e">
        <f>#REF!/#REF!</f>
        <v>#REF!</v>
      </c>
      <c r="V54" s="21">
        <f t="shared" ref="V54:AB57" si="72">B54/B$41</f>
        <v>0.37685896388298751</v>
      </c>
      <c r="W54" s="21">
        <f t="shared" si="72"/>
        <v>0.21717952682851399</v>
      </c>
      <c r="X54" s="21">
        <f t="shared" si="72"/>
        <v>0.34889024019458803</v>
      </c>
      <c r="Y54" s="21">
        <f t="shared" si="72"/>
        <v>0.33616584865577609</v>
      </c>
      <c r="Z54" s="21">
        <f t="shared" si="72"/>
        <v>0.35526825114190602</v>
      </c>
      <c r="AA54" s="21">
        <f t="shared" si="72"/>
        <v>0.33063962796371116</v>
      </c>
      <c r="AB54" s="21">
        <f t="shared" si="72"/>
        <v>0.33793157197412527</v>
      </c>
      <c r="AC54" s="21" t="e">
        <f t="shared" ref="AC54:AC57" si="73">I54/I$41</f>
        <v>#DIV/0!</v>
      </c>
      <c r="AD54" s="21">
        <f t="shared" ref="AD54:AD57" si="74">SUM(C54:G54)/SUM(C$41:G$41)</f>
        <v>0.31796275180539713</v>
      </c>
      <c r="AE54" s="2"/>
    </row>
    <row r="55" spans="1:31" ht="15" x14ac:dyDescent="0.2">
      <c r="A55" s="37" t="s">
        <v>10</v>
      </c>
      <c r="B55" s="167">
        <v>162.4</v>
      </c>
      <c r="C55" s="167">
        <v>180.1</v>
      </c>
      <c r="D55" s="167">
        <v>201.4</v>
      </c>
      <c r="E55" s="167">
        <v>242.5</v>
      </c>
      <c r="F55" s="167">
        <v>228.6</v>
      </c>
      <c r="G55" s="167">
        <v>241.4</v>
      </c>
      <c r="H55" s="167">
        <v>249.9</v>
      </c>
      <c r="I55" s="75"/>
      <c r="J55" s="21">
        <f t="shared" si="71"/>
        <v>6.7703112274955027E-2</v>
      </c>
      <c r="K55" s="37" t="str">
        <f>A55</f>
        <v>Deferred Income Taxes</v>
      </c>
      <c r="L55" s="21" t="e">
        <f>#REF!/#REF!</f>
        <v>#REF!</v>
      </c>
      <c r="M55" s="21" t="e">
        <f>#REF!/#REF!</f>
        <v>#REF!</v>
      </c>
      <c r="N55" s="21" t="e">
        <f>#REF!/#REF!</f>
        <v>#REF!</v>
      </c>
      <c r="O55" s="21" t="e">
        <f>#REF!/#REF!</f>
        <v>#REF!</v>
      </c>
      <c r="P55" s="21" t="e">
        <f>#REF!/#REF!</f>
        <v>#REF!</v>
      </c>
      <c r="Q55" s="21" t="e">
        <f>#REF!/#REF!</f>
        <v>#REF!</v>
      </c>
      <c r="R55" s="21" t="e">
        <f>#REF!/#REF!</f>
        <v>#REF!</v>
      </c>
      <c r="S55" s="21" t="e">
        <f>#REF!/#REF!</f>
        <v>#REF!</v>
      </c>
      <c r="T55" s="21" t="e">
        <f>#REF!/#REF!</f>
        <v>#REF!</v>
      </c>
      <c r="U55" s="21" t="e">
        <f>#REF!/#REF!</f>
        <v>#REF!</v>
      </c>
      <c r="V55" s="21">
        <f t="shared" si="72"/>
        <v>0.13270142180094791</v>
      </c>
      <c r="W55" s="21">
        <f t="shared" si="72"/>
        <v>0.13924539972166383</v>
      </c>
      <c r="X55" s="21">
        <f t="shared" si="72"/>
        <v>0.15308604439039222</v>
      </c>
      <c r="Y55" s="21">
        <f t="shared" si="72"/>
        <v>0.17764266354113251</v>
      </c>
      <c r="Z55" s="21">
        <f t="shared" si="72"/>
        <v>0.17697607803669585</v>
      </c>
      <c r="AA55" s="21">
        <f t="shared" si="72"/>
        <v>0.18403598383776776</v>
      </c>
      <c r="AB55" s="21">
        <f t="shared" si="72"/>
        <v>0.1947626841243863</v>
      </c>
      <c r="AC55" s="21" t="e">
        <f t="shared" si="73"/>
        <v>#DIV/0!</v>
      </c>
      <c r="AD55" s="21">
        <f t="shared" si="74"/>
        <v>0.16632459141011022</v>
      </c>
      <c r="AE55" s="2"/>
    </row>
    <row r="56" spans="1:31" ht="15" x14ac:dyDescent="0.2">
      <c r="A56" s="37" t="s">
        <v>144</v>
      </c>
      <c r="B56" s="173">
        <v>15.1</v>
      </c>
      <c r="C56" s="173">
        <v>15.3</v>
      </c>
      <c r="D56" s="173">
        <v>14.7</v>
      </c>
      <c r="E56" s="173">
        <v>13.8</v>
      </c>
      <c r="F56" s="173">
        <v>13.9</v>
      </c>
      <c r="G56" s="173">
        <v>15.9</v>
      </c>
      <c r="H56" s="173">
        <v>16.3</v>
      </c>
      <c r="I56" s="109"/>
      <c r="J56" s="25">
        <f t="shared" si="71"/>
        <v>1.2742964229615092E-2</v>
      </c>
      <c r="K56" s="37" t="str">
        <f>A56</f>
        <v>Other Long Term Liabilities</v>
      </c>
      <c r="L56" s="42" t="e">
        <f>#REF!/#REF!</f>
        <v>#REF!</v>
      </c>
      <c r="M56" s="42" t="e">
        <f>#REF!/#REF!</f>
        <v>#REF!</v>
      </c>
      <c r="N56" s="42" t="e">
        <f>#REF!/#REF!</f>
        <v>#REF!</v>
      </c>
      <c r="O56" s="42" t="e">
        <f>#REF!/#REF!</f>
        <v>#REF!</v>
      </c>
      <c r="P56" s="42" t="e">
        <f>#REF!/#REF!</f>
        <v>#REF!</v>
      </c>
      <c r="Q56" s="42" t="e">
        <f>#REF!/#REF!</f>
        <v>#REF!</v>
      </c>
      <c r="R56" s="42" t="e">
        <f>#REF!/#REF!</f>
        <v>#REF!</v>
      </c>
      <c r="S56" s="42" t="e">
        <f>#REF!/#REF!</f>
        <v>#REF!</v>
      </c>
      <c r="T56" s="42" t="e">
        <f>#REF!/#REF!</f>
        <v>#REF!</v>
      </c>
      <c r="U56" s="42" t="e">
        <f>#REF!/#REF!</f>
        <v>#REF!</v>
      </c>
      <c r="V56" s="42">
        <f t="shared" si="72"/>
        <v>1.2338617421147249E-2</v>
      </c>
      <c r="W56" s="42">
        <f t="shared" si="72"/>
        <v>1.1829287150146901E-2</v>
      </c>
      <c r="X56" s="42">
        <f t="shared" si="72"/>
        <v>1.1173608999695956E-2</v>
      </c>
      <c r="Y56" s="42">
        <f t="shared" si="72"/>
        <v>1.01091495128562E-2</v>
      </c>
      <c r="Z56" s="42">
        <f t="shared" si="72"/>
        <v>1.0761012619029188E-2</v>
      </c>
      <c r="AA56" s="42">
        <f t="shared" si="72"/>
        <v>1.2121674163299533E-2</v>
      </c>
      <c r="AB56" s="42">
        <f t="shared" si="72"/>
        <v>1.2703608448289303E-2</v>
      </c>
      <c r="AC56" s="42" t="e">
        <f t="shared" si="73"/>
        <v>#DIV/0!</v>
      </c>
      <c r="AD56" s="21">
        <f t="shared" si="74"/>
        <v>1.1189661725579626E-2</v>
      </c>
      <c r="AE56" s="2"/>
    </row>
    <row r="57" spans="1:31" ht="15" x14ac:dyDescent="0.2">
      <c r="A57" s="38" t="s">
        <v>61</v>
      </c>
      <c r="B57" s="168">
        <f t="shared" ref="B57" si="75">SUM(B54:B56)</f>
        <v>638.70000000000005</v>
      </c>
      <c r="C57" s="168">
        <f t="shared" ref="C57:E57" si="76">SUM(C54:C56)</f>
        <v>476.3</v>
      </c>
      <c r="D57" s="168">
        <f t="shared" ref="D57" si="77">SUM(D54:D56)</f>
        <v>675.1</v>
      </c>
      <c r="E57" s="168">
        <f t="shared" si="76"/>
        <v>715.19999999999993</v>
      </c>
      <c r="F57" s="168">
        <f t="shared" ref="F57:G57" si="78">SUM(F54:F56)</f>
        <v>701.4</v>
      </c>
      <c r="G57" s="168">
        <f t="shared" si="78"/>
        <v>691</v>
      </c>
      <c r="H57" s="168">
        <f t="shared" ref="H57" si="79">SUM(H54:H56)</f>
        <v>699.8</v>
      </c>
      <c r="I57" s="106">
        <f t="shared" ref="I57" si="80">SUM(I54:I56)</f>
        <v>0</v>
      </c>
      <c r="J57" s="21">
        <f t="shared" si="71"/>
        <v>7.9987356828473216E-2</v>
      </c>
      <c r="K57" s="37" t="str">
        <f>A57</f>
        <v>Total LTD &amp; Deferrals</v>
      </c>
      <c r="L57" s="21" t="e">
        <f>#REF!/#REF!</f>
        <v>#REF!</v>
      </c>
      <c r="M57" s="21" t="e">
        <f>#REF!/#REF!</f>
        <v>#REF!</v>
      </c>
      <c r="N57" s="21" t="e">
        <f>#REF!/#REF!</f>
        <v>#REF!</v>
      </c>
      <c r="O57" s="21" t="e">
        <f>#REF!/#REF!</f>
        <v>#REF!</v>
      </c>
      <c r="P57" s="21" t="e">
        <f>#REF!/#REF!</f>
        <v>#REF!</v>
      </c>
      <c r="Q57" s="21" t="e">
        <f>#REF!/#REF!</f>
        <v>#REF!</v>
      </c>
      <c r="R57" s="21" t="e">
        <f>#REF!/#REF!</f>
        <v>#REF!</v>
      </c>
      <c r="S57" s="21" t="e">
        <f>#REF!/#REF!</f>
        <v>#REF!</v>
      </c>
      <c r="T57" s="21" t="e">
        <f>#REF!/#REF!</f>
        <v>#REF!</v>
      </c>
      <c r="U57" s="21" t="e">
        <f>#REF!/#REF!</f>
        <v>#REF!</v>
      </c>
      <c r="V57" s="21">
        <f t="shared" si="72"/>
        <v>0.52189900310508264</v>
      </c>
      <c r="W57" s="21">
        <f t="shared" si="72"/>
        <v>0.3682542137003248</v>
      </c>
      <c r="X57" s="21">
        <f t="shared" si="72"/>
        <v>0.51314989358467622</v>
      </c>
      <c r="Y57" s="21">
        <f t="shared" si="72"/>
        <v>0.52391766170976473</v>
      </c>
      <c r="Z57" s="21">
        <f t="shared" si="72"/>
        <v>0.54300534179763105</v>
      </c>
      <c r="AA57" s="21">
        <f t="shared" si="72"/>
        <v>0.52679728596477837</v>
      </c>
      <c r="AB57" s="21">
        <f t="shared" si="72"/>
        <v>0.54539786454680084</v>
      </c>
      <c r="AC57" s="21" t="e">
        <f t="shared" si="73"/>
        <v>#DIV/0!</v>
      </c>
      <c r="AD57" s="21">
        <f t="shared" si="74"/>
        <v>0.49547700494108704</v>
      </c>
      <c r="AE57" s="2"/>
    </row>
    <row r="58" spans="1:31" ht="12" customHeight="1" x14ac:dyDescent="0.2">
      <c r="A58" s="38"/>
      <c r="B58" s="173"/>
      <c r="C58" s="173"/>
      <c r="D58" s="173"/>
      <c r="E58" s="173"/>
      <c r="F58" s="173"/>
      <c r="G58" s="173"/>
      <c r="H58" s="173"/>
      <c r="I58" s="109"/>
      <c r="J58" s="21"/>
      <c r="K58" s="38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1" ht="15" x14ac:dyDescent="0.2">
      <c r="A59" s="37" t="s">
        <v>41</v>
      </c>
      <c r="B59" s="167">
        <f t="shared" ref="B59:C59" si="81">B57+B52</f>
        <v>676.7</v>
      </c>
      <c r="C59" s="167">
        <f t="shared" si="81"/>
        <v>706.6</v>
      </c>
      <c r="D59" s="167">
        <f t="shared" ref="D59:E59" si="82">D57+D52</f>
        <v>713.5</v>
      </c>
      <c r="E59" s="167">
        <f t="shared" si="82"/>
        <v>759.3</v>
      </c>
      <c r="F59" s="167">
        <f t="shared" ref="F59:G59" si="83">F57+F52</f>
        <v>739.4</v>
      </c>
      <c r="G59" s="167">
        <f t="shared" si="83"/>
        <v>760.5</v>
      </c>
      <c r="H59" s="167">
        <f t="shared" ref="H59" si="84">H57+H52</f>
        <v>734.09999999999991</v>
      </c>
      <c r="I59" s="75">
        <f t="shared" ref="I59" si="85">I57+I52</f>
        <v>0</v>
      </c>
      <c r="J59" s="21">
        <f>RATE(5,,-C59,H59)</f>
        <v>7.6653342391110827E-3</v>
      </c>
      <c r="K59" s="37" t="str">
        <f>A59</f>
        <v>Total Liabilities</v>
      </c>
      <c r="L59" s="21" t="e">
        <f>#REF!/#REF!</f>
        <v>#REF!</v>
      </c>
      <c r="M59" s="21" t="e">
        <f>#REF!/#REF!</f>
        <v>#REF!</v>
      </c>
      <c r="N59" s="21" t="e">
        <f>#REF!/#REF!</f>
        <v>#REF!</v>
      </c>
      <c r="O59" s="21" t="e">
        <f>#REF!/#REF!</f>
        <v>#REF!</v>
      </c>
      <c r="P59" s="21" t="e">
        <f>#REF!/#REF!</f>
        <v>#REF!</v>
      </c>
      <c r="Q59" s="21" t="e">
        <f>#REF!/#REF!</f>
        <v>#REF!</v>
      </c>
      <c r="R59" s="21" t="e">
        <f>#REF!/#REF!</f>
        <v>#REF!</v>
      </c>
      <c r="S59" s="21" t="e">
        <f>#REF!/#REF!</f>
        <v>#REF!</v>
      </c>
      <c r="T59" s="21" t="e">
        <f>#REF!/#REF!</f>
        <v>#REF!</v>
      </c>
      <c r="U59" s="21" t="e">
        <f>#REF!/#REF!</f>
        <v>#REF!</v>
      </c>
      <c r="V59" s="21">
        <f t="shared" ref="V59:AB59" si="86">B59/B$41</f>
        <v>0.55294982840333406</v>
      </c>
      <c r="W59" s="21">
        <f t="shared" si="86"/>
        <v>0.54631204577083659</v>
      </c>
      <c r="X59" s="21">
        <f t="shared" si="86"/>
        <v>0.54233809668592281</v>
      </c>
      <c r="Y59" s="21">
        <f t="shared" si="86"/>
        <v>0.55622298732693565</v>
      </c>
      <c r="Z59" s="21">
        <f t="shared" si="86"/>
        <v>0.57242393744677567</v>
      </c>
      <c r="AA59" s="21">
        <f t="shared" si="86"/>
        <v>0.5797819623389493</v>
      </c>
      <c r="AB59" s="21">
        <f t="shared" si="86"/>
        <v>0.57212999766191264</v>
      </c>
      <c r="AC59" s="21" t="e">
        <f t="shared" ref="AC59" si="87">I59/I$41</f>
        <v>#DIV/0!</v>
      </c>
      <c r="AD59" s="21">
        <f t="shared" ref="AD59" si="88">SUM(C59:G59)/SUM(C$41:G$41)</f>
        <v>0.55937666286583043</v>
      </c>
      <c r="AE59" s="2"/>
    </row>
    <row r="60" spans="1:31" ht="12" customHeight="1" x14ac:dyDescent="0.2">
      <c r="A60" s="37"/>
      <c r="B60" s="167"/>
      <c r="C60" s="167"/>
      <c r="D60" s="167"/>
      <c r="E60" s="167"/>
      <c r="F60" s="167"/>
      <c r="G60" s="167"/>
      <c r="H60" s="167"/>
      <c r="I60" s="75"/>
      <c r="J60" s="21"/>
      <c r="K60" s="37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"/>
    </row>
    <row r="61" spans="1:31" ht="15" hidden="1" x14ac:dyDescent="0.2">
      <c r="A61" s="37" t="s">
        <v>62</v>
      </c>
      <c r="B61" s="167"/>
      <c r="C61" s="167"/>
      <c r="D61" s="167"/>
      <c r="E61" s="167"/>
      <c r="F61" s="167"/>
      <c r="G61" s="167"/>
      <c r="H61" s="167"/>
      <c r="I61" s="75"/>
      <c r="J61" s="21"/>
      <c r="K61" s="37" t="str">
        <f>A61</f>
        <v>Preferred Stock</v>
      </c>
      <c r="L61" s="21" t="e">
        <f>#REF!/#REF!</f>
        <v>#REF!</v>
      </c>
      <c r="M61" s="21" t="e">
        <f>#REF!/#REF!</f>
        <v>#REF!</v>
      </c>
      <c r="N61" s="21" t="e">
        <f>#REF!/#REF!</f>
        <v>#REF!</v>
      </c>
      <c r="O61" s="21" t="e">
        <f>#REF!/#REF!</f>
        <v>#REF!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"/>
    </row>
    <row r="62" spans="1:31" ht="12" hidden="1" customHeight="1" x14ac:dyDescent="0.2">
      <c r="A62" s="37"/>
      <c r="B62" s="167"/>
      <c r="C62" s="167"/>
      <c r="D62" s="167"/>
      <c r="E62" s="167"/>
      <c r="F62" s="167"/>
      <c r="G62" s="167"/>
      <c r="H62" s="167"/>
      <c r="I62" s="75"/>
      <c r="J62" s="21"/>
      <c r="K62" s="37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"/>
    </row>
    <row r="63" spans="1:31" ht="15.75" x14ac:dyDescent="0.25">
      <c r="A63" s="61" t="s">
        <v>65</v>
      </c>
      <c r="B63" s="167"/>
      <c r="C63" s="167"/>
      <c r="D63" s="167"/>
      <c r="E63" s="167"/>
      <c r="F63" s="167"/>
      <c r="G63" s="167"/>
      <c r="H63" s="167"/>
      <c r="I63" s="75"/>
      <c r="J63" s="21"/>
      <c r="K63" s="49" t="str">
        <f>A63</f>
        <v>Common Equity: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21"/>
      <c r="AE63" s="2"/>
    </row>
    <row r="64" spans="1:31" ht="15" x14ac:dyDescent="0.2">
      <c r="A64" s="46" t="s">
        <v>5</v>
      </c>
      <c r="B64" s="167">
        <v>6.6</v>
      </c>
      <c r="C64" s="167">
        <v>6.6</v>
      </c>
      <c r="D64" s="167">
        <v>6.6</v>
      </c>
      <c r="E64" s="167">
        <v>6.6</v>
      </c>
      <c r="F64" s="167">
        <v>6.6</v>
      </c>
      <c r="G64" s="167">
        <v>6.6</v>
      </c>
      <c r="H64" s="167">
        <v>6.6</v>
      </c>
      <c r="I64" s="75"/>
      <c r="J64" s="21">
        <f t="shared" ref="J64:J66" si="89">RATE(5,,-C64,H64)</f>
        <v>2.3923879297010602E-16</v>
      </c>
      <c r="K64" s="37" t="str">
        <f>A64</f>
        <v>Common Stock</v>
      </c>
      <c r="L64" s="21" t="e">
        <f>#REF!/#REF!</f>
        <v>#REF!</v>
      </c>
      <c r="M64" s="21" t="e">
        <f>#REF!/#REF!</f>
        <v>#REF!</v>
      </c>
      <c r="N64" s="21" t="e">
        <f>#REF!/#REF!</f>
        <v>#REF!</v>
      </c>
      <c r="O64" s="21" t="e">
        <f>#REF!/#REF!</f>
        <v>#REF!</v>
      </c>
      <c r="P64" s="21" t="e">
        <f>#REF!/#REF!</f>
        <v>#REF!</v>
      </c>
      <c r="Q64" s="21" t="e">
        <f>#REF!/#REF!</f>
        <v>#REF!</v>
      </c>
      <c r="R64" s="21" t="e">
        <f>#REF!/#REF!</f>
        <v>#REF!</v>
      </c>
      <c r="S64" s="21" t="e">
        <f>#REF!/#REF!</f>
        <v>#REF!</v>
      </c>
      <c r="T64" s="21" t="e">
        <f>#REF!/#REF!</f>
        <v>#REF!</v>
      </c>
      <c r="U64" s="21" t="e">
        <f>#REF!/#REF!</f>
        <v>#REF!</v>
      </c>
      <c r="V64" s="21">
        <f t="shared" ref="V64:AB64" si="90">B64/B$41</f>
        <v>5.39303807811734E-3</v>
      </c>
      <c r="W64" s="21">
        <f t="shared" si="90"/>
        <v>5.1028297510437607E-3</v>
      </c>
      <c r="X64" s="21">
        <f t="shared" si="90"/>
        <v>5.016722408026756E-3</v>
      </c>
      <c r="Y64" s="21">
        <f t="shared" si="90"/>
        <v>4.8348106365833999E-3</v>
      </c>
      <c r="Z64" s="21">
        <f t="shared" si="90"/>
        <v>5.109545560114578E-3</v>
      </c>
      <c r="AA64" s="21">
        <f t="shared" si="90"/>
        <v>5.0316383319356549E-3</v>
      </c>
      <c r="AB64" s="21">
        <f t="shared" si="90"/>
        <v>5.1437923778349321E-3</v>
      </c>
      <c r="AC64" s="21" t="e">
        <f t="shared" ref="AC64" si="91">I64/I$41</f>
        <v>#DIV/0!</v>
      </c>
      <c r="AD64" s="21">
        <f t="shared" ref="AD64:AD66" si="92">SUM(C64:G64)/SUM(C$41:G$41)</f>
        <v>5.0171037628278219E-3</v>
      </c>
      <c r="AE64" s="2"/>
    </row>
    <row r="65" spans="1:31" ht="15" x14ac:dyDescent="0.2">
      <c r="A65" s="46" t="s">
        <v>146</v>
      </c>
      <c r="B65" s="167">
        <v>342.7</v>
      </c>
      <c r="C65" s="167">
        <v>344</v>
      </c>
      <c r="D65" s="167">
        <v>345.7</v>
      </c>
      <c r="E65" s="167">
        <v>347.5</v>
      </c>
      <c r="F65" s="167">
        <v>349.5</v>
      </c>
      <c r="G65" s="167">
        <v>351.4</v>
      </c>
      <c r="H65" s="167">
        <v>353.4</v>
      </c>
      <c r="I65" s="75"/>
      <c r="J65" s="21">
        <f t="shared" si="89"/>
        <v>5.4063423105270639E-3</v>
      </c>
      <c r="K65" s="37" t="str">
        <f>+A65</f>
        <v>Additional Paid-In Capital</v>
      </c>
      <c r="L65" s="21"/>
      <c r="M65" s="21"/>
      <c r="N65" s="21"/>
      <c r="O65" s="21"/>
      <c r="P65" s="21"/>
      <c r="Q65" s="21" t="e">
        <f>#REF!/#REF!</f>
        <v>#REF!</v>
      </c>
      <c r="R65" s="21" t="e">
        <f>#REF!/#REF!</f>
        <v>#REF!</v>
      </c>
      <c r="S65" s="21" t="e">
        <f>#REF!/#REF!</f>
        <v>#REF!</v>
      </c>
      <c r="T65" s="21" t="e">
        <f>#REF!/#REF!</f>
        <v>#REF!</v>
      </c>
      <c r="U65" s="21" t="e">
        <f>#REF!/#REF!</f>
        <v>#REF!</v>
      </c>
      <c r="V65" s="21">
        <f t="shared" ref="V65:AB66" si="93">B65/B$41</f>
        <v>0.28002941657133523</v>
      </c>
      <c r="W65" s="21">
        <f t="shared" si="93"/>
        <v>0.26596567187258391</v>
      </c>
      <c r="X65" s="21">
        <f t="shared" si="93"/>
        <v>0.26276983885679539</v>
      </c>
      <c r="Y65" s="21">
        <f t="shared" si="93"/>
        <v>0.25456010548677749</v>
      </c>
      <c r="Z65" s="21">
        <f t="shared" si="93"/>
        <v>0.27057366261515836</v>
      </c>
      <c r="AA65" s="21">
        <f t="shared" si="93"/>
        <v>0.26789662270336195</v>
      </c>
      <c r="AB65" s="21">
        <f t="shared" si="93"/>
        <v>0.27542670095861588</v>
      </c>
      <c r="AC65" s="21" t="e">
        <f t="shared" ref="AC65:AC66" si="94">I65/I$41</f>
        <v>#DIV/0!</v>
      </c>
      <c r="AD65" s="21">
        <f t="shared" si="92"/>
        <v>0.26424933485366781</v>
      </c>
      <c r="AE65" s="2"/>
    </row>
    <row r="66" spans="1:31" ht="15" x14ac:dyDescent="0.2">
      <c r="A66" s="46" t="s">
        <v>29</v>
      </c>
      <c r="B66" s="167">
        <v>197.8</v>
      </c>
      <c r="C66" s="167">
        <v>236.2</v>
      </c>
      <c r="D66" s="167">
        <v>249.8</v>
      </c>
      <c r="E66" s="167">
        <v>274.89999999999998</v>
      </c>
      <c r="F66" s="167">
        <v>219.1</v>
      </c>
      <c r="G66" s="167">
        <v>215.7</v>
      </c>
      <c r="H66" s="167">
        <v>211.3</v>
      </c>
      <c r="I66" s="75"/>
      <c r="J66" s="21">
        <f t="shared" si="89"/>
        <v>-2.2033629791326639E-2</v>
      </c>
      <c r="K66" s="37" t="str">
        <f>A66</f>
        <v>Retained Earnings</v>
      </c>
      <c r="L66" s="42" t="e">
        <f>#REF!/#REF!</f>
        <v>#REF!</v>
      </c>
      <c r="M66" s="42" t="e">
        <f>#REF!/#REF!</f>
        <v>#REF!</v>
      </c>
      <c r="N66" s="42" t="e">
        <f>#REF!/#REF!</f>
        <v>#REF!</v>
      </c>
      <c r="O66" s="42" t="e">
        <f>#REF!/#REF!</f>
        <v>#REF!</v>
      </c>
      <c r="P66" s="42" t="e">
        <f>#REF!/#REF!</f>
        <v>#REF!</v>
      </c>
      <c r="Q66" s="42" t="e">
        <f>#REF!/#REF!</f>
        <v>#REF!</v>
      </c>
      <c r="R66" s="42" t="e">
        <f>#REF!/#REF!</f>
        <v>#REF!</v>
      </c>
      <c r="S66" s="42" t="e">
        <f>#REF!/#REF!</f>
        <v>#REF!</v>
      </c>
      <c r="T66" s="42" t="e">
        <f>#REF!/#REF!</f>
        <v>#REF!</v>
      </c>
      <c r="U66" s="42" t="e">
        <f>#REF!/#REF!</f>
        <v>#REF!</v>
      </c>
      <c r="V66" s="42">
        <f t="shared" si="93"/>
        <v>0.16162771694721365</v>
      </c>
      <c r="W66" s="42">
        <f t="shared" si="93"/>
        <v>0.1826194526055358</v>
      </c>
      <c r="X66" s="42">
        <f t="shared" si="93"/>
        <v>0.1898753420492551</v>
      </c>
      <c r="Y66" s="42">
        <f t="shared" si="93"/>
        <v>0.20137718848436009</v>
      </c>
      <c r="Z66" s="42">
        <f t="shared" si="93"/>
        <v>0.16962142912440972</v>
      </c>
      <c r="AA66" s="42">
        <f t="shared" si="93"/>
        <v>0.16444308912098798</v>
      </c>
      <c r="AB66" s="42">
        <f t="shared" si="93"/>
        <v>0.16467929233886686</v>
      </c>
      <c r="AC66" s="42" t="e">
        <f t="shared" si="94"/>
        <v>#DIV/0!</v>
      </c>
      <c r="AD66" s="21">
        <f t="shared" si="92"/>
        <v>0.18178639300646143</v>
      </c>
      <c r="AE66" s="2"/>
    </row>
    <row r="67" spans="1:31" ht="15" x14ac:dyDescent="0.2">
      <c r="A67" s="46" t="s">
        <v>187</v>
      </c>
      <c r="B67" s="167"/>
      <c r="C67" s="167"/>
      <c r="D67" s="167"/>
      <c r="E67" s="174">
        <v>-23.2</v>
      </c>
      <c r="F67" s="174">
        <v>-22.9</v>
      </c>
      <c r="G67" s="174">
        <v>-22.5</v>
      </c>
      <c r="H67" s="174">
        <v>-22.3</v>
      </c>
      <c r="I67" s="112"/>
      <c r="J67" s="25"/>
      <c r="K67" s="37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25"/>
      <c r="AE67" s="2"/>
    </row>
    <row r="68" spans="1:31" ht="15" x14ac:dyDescent="0.2">
      <c r="A68" s="37" t="s">
        <v>66</v>
      </c>
      <c r="B68" s="168">
        <f t="shared" ref="B68:C68" si="95">SUM(B63:B66)</f>
        <v>547.1</v>
      </c>
      <c r="C68" s="168">
        <f t="shared" si="95"/>
        <v>586.79999999999995</v>
      </c>
      <c r="D68" s="168">
        <f t="shared" ref="D68" si="96">SUM(D63:D66)</f>
        <v>602.1</v>
      </c>
      <c r="E68" s="168">
        <f>SUM(E63:E67)</f>
        <v>605.79999999999995</v>
      </c>
      <c r="F68" s="168">
        <f>SUM(F63:F67)</f>
        <v>552.30000000000007</v>
      </c>
      <c r="G68" s="168">
        <f>SUM(G63:G67)</f>
        <v>551.20000000000005</v>
      </c>
      <c r="H68" s="168">
        <f>SUM(H63:H67)</f>
        <v>549</v>
      </c>
      <c r="I68" s="106">
        <f>SUM(I63:I67)</f>
        <v>0</v>
      </c>
      <c r="J68" s="65">
        <f t="shared" ref="J68:J69" si="97">RATE(5,,-C68,H68)</f>
        <v>-1.3228840412017025E-2</v>
      </c>
      <c r="K68" s="37" t="str">
        <f>A68</f>
        <v>Total Common Equity</v>
      </c>
      <c r="L68" s="42" t="e">
        <f>#REF!/#REF!</f>
        <v>#REF!</v>
      </c>
      <c r="M68" s="42" t="e">
        <f>#REF!/#REF!</f>
        <v>#REF!</v>
      </c>
      <c r="N68" s="42" t="e">
        <f>#REF!/#REF!</f>
        <v>#REF!</v>
      </c>
      <c r="O68" s="42" t="e">
        <f>#REF!/#REF!</f>
        <v>#REF!</v>
      </c>
      <c r="P68" s="42" t="e">
        <f>#REF!/#REF!</f>
        <v>#REF!</v>
      </c>
      <c r="Q68" s="42" t="e">
        <f>#REF!/#REF!</f>
        <v>#REF!</v>
      </c>
      <c r="R68" s="42" t="e">
        <f>#REF!/#REF!</f>
        <v>#REF!</v>
      </c>
      <c r="S68" s="42" t="e">
        <f>#REF!/#REF!</f>
        <v>#REF!</v>
      </c>
      <c r="T68" s="42" t="e">
        <f>#REF!/#REF!</f>
        <v>#REF!</v>
      </c>
      <c r="U68" s="42" t="e">
        <f>#REF!/#REF!</f>
        <v>#REF!</v>
      </c>
      <c r="V68" s="42">
        <f t="shared" ref="V68:AB69" si="98">B68/B$41</f>
        <v>0.44705017159666621</v>
      </c>
      <c r="W68" s="42">
        <f t="shared" si="98"/>
        <v>0.45368795422916347</v>
      </c>
      <c r="X68" s="42">
        <f t="shared" si="98"/>
        <v>0.4576619033140773</v>
      </c>
      <c r="Y68" s="42">
        <f t="shared" si="98"/>
        <v>0.44377701267306419</v>
      </c>
      <c r="Z68" s="42">
        <f t="shared" si="98"/>
        <v>0.42757606255322456</v>
      </c>
      <c r="AA68" s="42">
        <f t="shared" si="98"/>
        <v>0.42021803766105048</v>
      </c>
      <c r="AB68" s="42">
        <f t="shared" si="98"/>
        <v>0.42787000233808753</v>
      </c>
      <c r="AC68" s="42" t="e">
        <f t="shared" ref="AC68:AC69" si="99">I68/I$41</f>
        <v>#DIV/0!</v>
      </c>
      <c r="AD68" s="21">
        <f t="shared" ref="AD68:AD69" si="100">SUM(C68:G68)/SUM(C$41:G$41)</f>
        <v>0.44062333713416951</v>
      </c>
      <c r="AE68" s="2"/>
    </row>
    <row r="69" spans="1:31" ht="15.75" thickBot="1" x14ac:dyDescent="0.25">
      <c r="A69" s="37" t="s">
        <v>42</v>
      </c>
      <c r="B69" s="175">
        <f t="shared" ref="B69:C69" si="101">B68+B59+B61</f>
        <v>1223.8000000000002</v>
      </c>
      <c r="C69" s="175">
        <f t="shared" si="101"/>
        <v>1293.4000000000001</v>
      </c>
      <c r="D69" s="175">
        <f t="shared" ref="D69:E69" si="102">D68+D59+D61</f>
        <v>1315.6</v>
      </c>
      <c r="E69" s="175">
        <f t="shared" si="102"/>
        <v>1365.1</v>
      </c>
      <c r="F69" s="175">
        <f t="shared" ref="F69:G69" si="103">F68+F59+F61</f>
        <v>1291.7</v>
      </c>
      <c r="G69" s="175">
        <f t="shared" si="103"/>
        <v>1311.7</v>
      </c>
      <c r="H69" s="175">
        <f t="shared" ref="H69" si="104">H68+H59+H61</f>
        <v>1283.0999999999999</v>
      </c>
      <c r="I69" s="110">
        <f t="shared" ref="I69" si="105">I68+I59+I61</f>
        <v>0</v>
      </c>
      <c r="J69" s="128">
        <f t="shared" si="97"/>
        <v>-1.5977991798557447E-3</v>
      </c>
      <c r="K69" s="37" t="str">
        <f>A69</f>
        <v>Total Liabilities &amp; Equity</v>
      </c>
      <c r="L69" s="47" t="e">
        <f>#REF!/#REF!</f>
        <v>#REF!</v>
      </c>
      <c r="M69" s="47" t="e">
        <f>#REF!/#REF!</f>
        <v>#REF!</v>
      </c>
      <c r="N69" s="47" t="e">
        <f>#REF!/#REF!</f>
        <v>#REF!</v>
      </c>
      <c r="O69" s="47" t="e">
        <f>#REF!/#REF!</f>
        <v>#REF!</v>
      </c>
      <c r="P69" s="47" t="e">
        <f>#REF!/#REF!</f>
        <v>#REF!</v>
      </c>
      <c r="Q69" s="47" t="e">
        <f>#REF!/#REF!</f>
        <v>#REF!</v>
      </c>
      <c r="R69" s="47" t="e">
        <f>#REF!/#REF!</f>
        <v>#REF!</v>
      </c>
      <c r="S69" s="47" t="e">
        <f>#REF!/#REF!</f>
        <v>#REF!</v>
      </c>
      <c r="T69" s="47" t="e">
        <f>#REF!/#REF!</f>
        <v>#REF!</v>
      </c>
      <c r="U69" s="47" t="e">
        <f>#REF!/#REF!</f>
        <v>#REF!</v>
      </c>
      <c r="V69" s="47">
        <f t="shared" si="98"/>
        <v>1.0000000000000004</v>
      </c>
      <c r="W69" s="47">
        <f t="shared" si="98"/>
        <v>1.0000000000000002</v>
      </c>
      <c r="X69" s="47">
        <f t="shared" si="98"/>
        <v>1</v>
      </c>
      <c r="Y69" s="47">
        <f t="shared" si="98"/>
        <v>0.99999999999999978</v>
      </c>
      <c r="Z69" s="47">
        <f t="shared" si="98"/>
        <v>1.0000000000000002</v>
      </c>
      <c r="AA69" s="47">
        <f t="shared" si="98"/>
        <v>0.99999999999999978</v>
      </c>
      <c r="AB69" s="47">
        <f t="shared" si="98"/>
        <v>1.0000000000000002</v>
      </c>
      <c r="AC69" s="47" t="e">
        <f t="shared" si="99"/>
        <v>#DIV/0!</v>
      </c>
      <c r="AD69" s="21">
        <f t="shared" si="100"/>
        <v>1</v>
      </c>
      <c r="AE69" s="2"/>
    </row>
    <row r="70" spans="1:31" ht="13.5" thickTop="1" x14ac:dyDescent="0.2">
      <c r="A70" s="2"/>
      <c r="B70" s="2"/>
      <c r="C70" s="2"/>
      <c r="D70" s="2"/>
      <c r="E70" s="2"/>
      <c r="F70" s="2"/>
      <c r="G70" s="2"/>
      <c r="H70" s="2"/>
      <c r="I70" s="2"/>
      <c r="AE70" s="2"/>
    </row>
    <row r="71" spans="1:3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53" t="str">
        <f>+J1</f>
        <v>DPU Exhibit 1.4 DIR</v>
      </c>
      <c r="K71" s="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3" t="str">
        <f>+J71</f>
        <v>DPU Exhibit 1.4 DIR</v>
      </c>
      <c r="AE71" s="2"/>
    </row>
    <row r="72" spans="1:3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91" t="s">
        <v>114</v>
      </c>
      <c r="K72" s="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91"/>
      <c r="AE72" s="2"/>
    </row>
    <row r="73" spans="1:31" ht="20.25" x14ac:dyDescent="0.3">
      <c r="A73" s="189" t="str">
        <f>A3</f>
        <v>Questar Pipeline Company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 t="str">
        <f>A3</f>
        <v>Questar Pipeline Company</v>
      </c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2"/>
    </row>
    <row r="74" spans="1:31" ht="15.75" x14ac:dyDescent="0.25">
      <c r="A74" s="190" t="s">
        <v>14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 t="s">
        <v>46</v>
      </c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2"/>
    </row>
    <row r="75" spans="1:31" ht="15.75" x14ac:dyDescent="0.25">
      <c r="A75" s="191" t="str">
        <f>A5</f>
        <v>Years Ended December 31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0" t="s">
        <v>14</v>
      </c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2"/>
    </row>
    <row r="76" spans="1:31" ht="15.75" hidden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48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  <c r="AE76" s="2"/>
    </row>
    <row r="77" spans="1:31" ht="15.75" x14ac:dyDescent="0.25">
      <c r="A77" s="70" t="str">
        <f>+A7</f>
        <v>(Millions of dollars)</v>
      </c>
      <c r="B77" s="63"/>
      <c r="C77" s="63"/>
      <c r="D77" s="63"/>
      <c r="E77" s="63"/>
      <c r="F77" s="63"/>
      <c r="G77" s="63"/>
      <c r="H77" s="63"/>
      <c r="I77" s="63"/>
      <c r="J77" s="99" t="str">
        <f>J7</f>
        <v>2010 to 2015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0"/>
      <c r="AE77" s="2"/>
    </row>
    <row r="78" spans="1:31" ht="15" customHeight="1" x14ac:dyDescent="0.25">
      <c r="A78" s="49"/>
      <c r="B78" s="52"/>
      <c r="C78" s="52"/>
      <c r="D78" s="52"/>
      <c r="E78" s="52"/>
      <c r="F78" s="121"/>
      <c r="G78" s="121"/>
      <c r="H78" s="121"/>
      <c r="I78" s="121" t="str">
        <f>+I8</f>
        <v>1st Quarter</v>
      </c>
      <c r="J78" s="101" t="s">
        <v>3</v>
      </c>
      <c r="K78" s="49"/>
      <c r="L78" s="49"/>
      <c r="M78" s="49"/>
      <c r="N78" s="49"/>
      <c r="O78" s="49"/>
      <c r="P78" s="49"/>
      <c r="Q78" s="49"/>
      <c r="R78" s="51"/>
      <c r="S78" s="51"/>
      <c r="T78" s="51"/>
      <c r="U78" s="52"/>
      <c r="V78" s="52"/>
      <c r="W78" s="52"/>
      <c r="X78" s="52"/>
      <c r="Y78" s="52"/>
      <c r="Z78" s="121"/>
      <c r="AA78" s="127"/>
      <c r="AB78" s="127"/>
      <c r="AC78" s="127" t="str">
        <f>+AC8</f>
        <v>1st Quarter</v>
      </c>
      <c r="AD78" s="135" t="str">
        <f>J7</f>
        <v>2010 to 2015</v>
      </c>
      <c r="AE78" s="2"/>
    </row>
    <row r="79" spans="1:31" ht="15.75" x14ac:dyDescent="0.25">
      <c r="A79" s="56" t="s">
        <v>0</v>
      </c>
      <c r="B79" s="55">
        <f t="shared" ref="B79:H79" si="106">+B9</f>
        <v>2009</v>
      </c>
      <c r="C79" s="55">
        <f t="shared" si="106"/>
        <v>2010</v>
      </c>
      <c r="D79" s="55">
        <f t="shared" si="106"/>
        <v>2011</v>
      </c>
      <c r="E79" s="55">
        <f t="shared" si="106"/>
        <v>2012</v>
      </c>
      <c r="F79" s="55">
        <f t="shared" si="106"/>
        <v>2013</v>
      </c>
      <c r="G79" s="55">
        <f t="shared" si="106"/>
        <v>2014</v>
      </c>
      <c r="H79" s="55">
        <f t="shared" si="106"/>
        <v>2015</v>
      </c>
      <c r="I79" s="55">
        <f>+I9</f>
        <v>2016</v>
      </c>
      <c r="J79" s="100" t="s">
        <v>25</v>
      </c>
      <c r="K79" s="56" t="s">
        <v>0</v>
      </c>
      <c r="L79" s="55" t="e">
        <f>#REF!</f>
        <v>#REF!</v>
      </c>
      <c r="M79" s="55" t="e">
        <f>#REF!</f>
        <v>#REF!</v>
      </c>
      <c r="N79" s="55" t="e">
        <f>#REF!</f>
        <v>#REF!</v>
      </c>
      <c r="O79" s="55" t="e">
        <f>#REF!</f>
        <v>#REF!</v>
      </c>
      <c r="P79" s="55" t="e">
        <f>#REF!</f>
        <v>#REF!</v>
      </c>
      <c r="Q79" s="55" t="e">
        <f>#REF!</f>
        <v>#REF!</v>
      </c>
      <c r="R79" s="55" t="e">
        <f>#REF!</f>
        <v>#REF!</v>
      </c>
      <c r="S79" s="55" t="e">
        <f>#REF!</f>
        <v>#REF!</v>
      </c>
      <c r="T79" s="55" t="e">
        <f>#REF!</f>
        <v>#REF!</v>
      </c>
      <c r="U79" s="55" t="e">
        <f>#REF!</f>
        <v>#REF!</v>
      </c>
      <c r="V79" s="55">
        <f t="shared" ref="V79:AB79" si="107">+B79</f>
        <v>2009</v>
      </c>
      <c r="W79" s="55">
        <f t="shared" si="107"/>
        <v>2010</v>
      </c>
      <c r="X79" s="55">
        <f t="shared" si="107"/>
        <v>2011</v>
      </c>
      <c r="Y79" s="55">
        <f t="shared" si="107"/>
        <v>2012</v>
      </c>
      <c r="Z79" s="55">
        <f t="shared" si="107"/>
        <v>2013</v>
      </c>
      <c r="AA79" s="55">
        <f t="shared" si="107"/>
        <v>2014</v>
      </c>
      <c r="AB79" s="55">
        <f t="shared" si="107"/>
        <v>2015</v>
      </c>
      <c r="AC79" s="55">
        <f t="shared" ref="AC79" si="108">+I79</f>
        <v>2016</v>
      </c>
      <c r="AD79" s="134" t="s">
        <v>2</v>
      </c>
      <c r="AE79" s="2"/>
    </row>
    <row r="80" spans="1:31" ht="15" customHeight="1" x14ac:dyDescent="0.2">
      <c r="A80" s="38"/>
      <c r="B80" s="39"/>
      <c r="C80" s="39"/>
      <c r="D80" s="39"/>
      <c r="E80" s="39"/>
      <c r="F80" s="39"/>
      <c r="G80" s="39"/>
      <c r="H80" s="39"/>
      <c r="I80" s="39"/>
      <c r="J80" s="40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 s="2"/>
    </row>
    <row r="81" spans="1:32" ht="15.75" x14ac:dyDescent="0.25">
      <c r="A81" s="49" t="s">
        <v>23</v>
      </c>
      <c r="B81" s="80"/>
      <c r="C81" s="80"/>
      <c r="D81" s="80"/>
      <c r="E81" s="80"/>
      <c r="F81" s="80"/>
      <c r="G81" s="80"/>
      <c r="H81" s="80"/>
      <c r="I81" s="80"/>
      <c r="J81" s="21"/>
      <c r="K81" s="49" t="s">
        <v>22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4"/>
    </row>
    <row r="82" spans="1:32" ht="15" x14ac:dyDescent="0.2">
      <c r="A82" s="137" t="s">
        <v>133</v>
      </c>
      <c r="B82" s="176">
        <v>170.1</v>
      </c>
      <c r="C82" s="176">
        <v>197.2</v>
      </c>
      <c r="D82" s="176">
        <v>197.4</v>
      </c>
      <c r="E82" s="176">
        <v>203.1</v>
      </c>
      <c r="F82" s="176">
        <v>189.5</v>
      </c>
      <c r="G82" s="176">
        <v>190.2</v>
      </c>
      <c r="H82" s="176">
        <v>187.9</v>
      </c>
      <c r="I82" s="118"/>
      <c r="J82" s="131">
        <f>RATE(5,,-C82,H82)</f>
        <v>-9.6151828126984917E-3</v>
      </c>
      <c r="K82" s="137" t="str">
        <f>A82</f>
        <v>From Unaffiliated Customers</v>
      </c>
      <c r="L82" s="131" t="e">
        <f>#REF!/#REF!</f>
        <v>#REF!</v>
      </c>
      <c r="M82" s="131" t="e">
        <f>#REF!/#REF!</f>
        <v>#REF!</v>
      </c>
      <c r="N82" s="131" t="e">
        <f>#REF!/#REF!</f>
        <v>#REF!</v>
      </c>
      <c r="O82" s="131" t="e">
        <f>#REF!/#REF!</f>
        <v>#REF!</v>
      </c>
      <c r="P82" s="131" t="e">
        <f>#REF!/#REF!</f>
        <v>#REF!</v>
      </c>
      <c r="Q82" s="131" t="e">
        <f>#REF!/#REF!</f>
        <v>#REF!</v>
      </c>
      <c r="R82" s="131" t="e">
        <f>#REF!/#REF!</f>
        <v>#REF!</v>
      </c>
      <c r="S82" s="131" t="e">
        <f>#REF!/#REF!</f>
        <v>#REF!</v>
      </c>
      <c r="T82" s="131" t="e">
        <f>#REF!/#REF!</f>
        <v>#REF!</v>
      </c>
      <c r="U82" s="131" t="e">
        <f>#REF!/#REF!</f>
        <v>#REF!</v>
      </c>
      <c r="V82" s="131">
        <f t="shared" ref="V82:AB82" si="109">B82/B$85</f>
        <v>0.69315403422982891</v>
      </c>
      <c r="W82" s="131">
        <f t="shared" si="109"/>
        <v>0.72713864306784659</v>
      </c>
      <c r="X82" s="131">
        <f t="shared" si="109"/>
        <v>0.72626931567328923</v>
      </c>
      <c r="Y82" s="131">
        <f t="shared" si="109"/>
        <v>0.73189189189189185</v>
      </c>
      <c r="Z82" s="131">
        <f t="shared" si="109"/>
        <v>0.71187077385424491</v>
      </c>
      <c r="AA82" s="131">
        <f t="shared" si="109"/>
        <v>0.72072754831375518</v>
      </c>
      <c r="AB82" s="131">
        <f t="shared" si="109"/>
        <v>0.71444866920152095</v>
      </c>
      <c r="AC82" s="131" t="e">
        <f t="shared" ref="AC82" si="110">I82/I$85</f>
        <v>#DIV/0!</v>
      </c>
      <c r="AD82" s="138">
        <f>SUM(C82:G82)/SUM(C$85:G$85)</f>
        <v>0.72367836517103523</v>
      </c>
      <c r="AE82" s="139"/>
      <c r="AF82" s="9"/>
    </row>
    <row r="83" spans="1:32" ht="15" x14ac:dyDescent="0.2">
      <c r="A83" s="137" t="s">
        <v>157</v>
      </c>
      <c r="B83" s="176">
        <v>72.099999999999994</v>
      </c>
      <c r="C83" s="176">
        <v>74</v>
      </c>
      <c r="D83" s="176">
        <v>74.400000000000006</v>
      </c>
      <c r="E83" s="176">
        <v>74.400000000000006</v>
      </c>
      <c r="F83" s="176">
        <v>76.7</v>
      </c>
      <c r="G83" s="176">
        <v>73.7</v>
      </c>
      <c r="H83" s="176">
        <v>75.099999999999994</v>
      </c>
      <c r="I83" s="118"/>
      <c r="J83" s="131">
        <f>RATE(5,,-C83,H83)</f>
        <v>2.9554518751148178E-3</v>
      </c>
      <c r="K83" s="137" t="str">
        <f>+A83</f>
        <v>From Questar Gas</v>
      </c>
      <c r="L83" s="131"/>
      <c r="M83" s="131"/>
      <c r="N83" s="131"/>
      <c r="O83" s="131"/>
      <c r="P83" s="131"/>
      <c r="Q83" s="131" t="e">
        <f>#REF!/#REF!</f>
        <v>#REF!</v>
      </c>
      <c r="R83" s="131" t="e">
        <f>#REF!/#REF!</f>
        <v>#REF!</v>
      </c>
      <c r="S83" s="131" t="e">
        <f>#REF!/#REF!</f>
        <v>#REF!</v>
      </c>
      <c r="T83" s="131" t="e">
        <f>#REF!/#REF!</f>
        <v>#REF!</v>
      </c>
      <c r="U83" s="131" t="e">
        <f>#REF!/#REF!</f>
        <v>#REF!</v>
      </c>
      <c r="V83" s="131">
        <f t="shared" ref="V83:AB83" si="111">B83/B$85</f>
        <v>0.29380603096984514</v>
      </c>
      <c r="W83" s="131">
        <f t="shared" si="111"/>
        <v>0.27286135693215341</v>
      </c>
      <c r="X83" s="131">
        <f t="shared" si="111"/>
        <v>0.27373068432671083</v>
      </c>
      <c r="Y83" s="131">
        <f t="shared" si="111"/>
        <v>0.26810810810810815</v>
      </c>
      <c r="Z83" s="131">
        <f t="shared" si="111"/>
        <v>0.28812922614575509</v>
      </c>
      <c r="AA83" s="131">
        <f t="shared" si="111"/>
        <v>0.27927245168624482</v>
      </c>
      <c r="AB83" s="131">
        <f t="shared" si="111"/>
        <v>0.28555133079847905</v>
      </c>
      <c r="AC83" s="131" t="e">
        <f t="shared" ref="AC83" si="112">I83/I$85</f>
        <v>#DIV/0!</v>
      </c>
      <c r="AD83" s="138">
        <f t="shared" ref="AD83:AD85" si="113">SUM(C83:G83)/SUM(C$85:G$85)</f>
        <v>0.27632163482896493</v>
      </c>
      <c r="AE83" s="139"/>
      <c r="AF83" s="9"/>
    </row>
    <row r="84" spans="1:32" ht="15" x14ac:dyDescent="0.2">
      <c r="A84" s="137" t="s">
        <v>134</v>
      </c>
      <c r="B84" s="176">
        <v>3.2</v>
      </c>
      <c r="C84" s="176"/>
      <c r="D84" s="176"/>
      <c r="E84" s="176"/>
      <c r="F84" s="176"/>
      <c r="G84" s="176"/>
      <c r="H84" s="176"/>
      <c r="I84" s="118"/>
      <c r="J84" s="140"/>
      <c r="K84" s="137" t="str">
        <f>A84</f>
        <v>Affiliated Companies</v>
      </c>
      <c r="L84" s="141" t="e">
        <f>#REF!/#REF!</f>
        <v>#REF!</v>
      </c>
      <c r="M84" s="141" t="e">
        <f>#REF!/#REF!</f>
        <v>#REF!</v>
      </c>
      <c r="N84" s="141" t="e">
        <f>#REF!/#REF!</f>
        <v>#REF!</v>
      </c>
      <c r="O84" s="141" t="e">
        <f>#REF!/#REF!</f>
        <v>#REF!</v>
      </c>
      <c r="P84" s="141" t="e">
        <f>#REF!/#REF!</f>
        <v>#REF!</v>
      </c>
      <c r="Q84" s="141" t="e">
        <f>#REF!/#REF!</f>
        <v>#REF!</v>
      </c>
      <c r="R84" s="141" t="e">
        <f>#REF!/#REF!</f>
        <v>#REF!</v>
      </c>
      <c r="S84" s="141" t="e">
        <f>#REF!/#REF!</f>
        <v>#REF!</v>
      </c>
      <c r="T84" s="141" t="e">
        <f>#REF!/#REF!</f>
        <v>#REF!</v>
      </c>
      <c r="U84" s="141" t="e">
        <f>#REF!/#REF!</f>
        <v>#REF!</v>
      </c>
      <c r="V84" s="141">
        <f t="shared" ref="V84:V85" si="114">B84/B$85</f>
        <v>1.3039934800325999E-2</v>
      </c>
      <c r="W84" s="141"/>
      <c r="X84" s="141"/>
      <c r="Y84" s="141"/>
      <c r="Z84" s="141"/>
      <c r="AA84" s="141"/>
      <c r="AB84" s="141"/>
      <c r="AC84" s="141"/>
      <c r="AD84" s="140">
        <f t="shared" si="113"/>
        <v>0</v>
      </c>
      <c r="AE84" s="139"/>
      <c r="AF84" s="9"/>
    </row>
    <row r="85" spans="1:32" ht="15" x14ac:dyDescent="0.2">
      <c r="A85" s="137" t="s">
        <v>54</v>
      </c>
      <c r="B85" s="98">
        <f t="shared" ref="B85:F85" si="115">SUM(B81:B84)</f>
        <v>245.39999999999998</v>
      </c>
      <c r="C85" s="98">
        <f t="shared" si="115"/>
        <v>271.2</v>
      </c>
      <c r="D85" s="98">
        <f t="shared" si="115"/>
        <v>271.8</v>
      </c>
      <c r="E85" s="98">
        <f t="shared" si="115"/>
        <v>277.5</v>
      </c>
      <c r="F85" s="98">
        <f t="shared" si="115"/>
        <v>266.2</v>
      </c>
      <c r="G85" s="98">
        <f t="shared" ref="G85:I85" si="116">SUM(G81:G84)</f>
        <v>263.89999999999998</v>
      </c>
      <c r="H85" s="98">
        <f t="shared" ref="H85" si="117">SUM(H81:H84)</f>
        <v>263</v>
      </c>
      <c r="I85" s="119">
        <f t="shared" si="116"/>
        <v>0</v>
      </c>
      <c r="J85" s="131">
        <f>RATE(5,,-C85,H85)</f>
        <v>-6.1216904078393421E-3</v>
      </c>
      <c r="K85" s="137" t="str">
        <f>A85</f>
        <v>Total Revenues</v>
      </c>
      <c r="L85" s="131" t="e">
        <f>#REF!/#REF!</f>
        <v>#REF!</v>
      </c>
      <c r="M85" s="131" t="e">
        <f>#REF!/#REF!</f>
        <v>#REF!</v>
      </c>
      <c r="N85" s="131" t="e">
        <f>#REF!/#REF!</f>
        <v>#REF!</v>
      </c>
      <c r="O85" s="131" t="e">
        <f>#REF!/#REF!</f>
        <v>#REF!</v>
      </c>
      <c r="P85" s="131" t="e">
        <f>#REF!/#REF!</f>
        <v>#REF!</v>
      </c>
      <c r="Q85" s="131" t="e">
        <f>#REF!/#REF!</f>
        <v>#REF!</v>
      </c>
      <c r="R85" s="131" t="e">
        <f>#REF!/#REF!</f>
        <v>#REF!</v>
      </c>
      <c r="S85" s="131" t="e">
        <f>#REF!/#REF!</f>
        <v>#REF!</v>
      </c>
      <c r="T85" s="131" t="e">
        <f>#REF!/#REF!</f>
        <v>#REF!</v>
      </c>
      <c r="U85" s="131" t="e">
        <f>#REF!/#REF!</f>
        <v>#REF!</v>
      </c>
      <c r="V85" s="131">
        <f t="shared" si="114"/>
        <v>1</v>
      </c>
      <c r="W85" s="131">
        <f t="shared" ref="W85:AB85" si="118">C85/C$85</f>
        <v>1</v>
      </c>
      <c r="X85" s="131">
        <f t="shared" si="118"/>
        <v>1</v>
      </c>
      <c r="Y85" s="131">
        <f t="shared" si="118"/>
        <v>1</v>
      </c>
      <c r="Z85" s="131">
        <f t="shared" si="118"/>
        <v>1</v>
      </c>
      <c r="AA85" s="131">
        <f t="shared" si="118"/>
        <v>1</v>
      </c>
      <c r="AB85" s="131">
        <f t="shared" si="118"/>
        <v>1</v>
      </c>
      <c r="AC85" s="131" t="e">
        <f t="shared" ref="AC85" si="119">I85/I$85</f>
        <v>#DIV/0!</v>
      </c>
      <c r="AD85" s="138">
        <f t="shared" si="113"/>
        <v>1</v>
      </c>
      <c r="AE85" s="139"/>
      <c r="AF85" s="9"/>
    </row>
    <row r="86" spans="1:32" ht="15" x14ac:dyDescent="0.2">
      <c r="A86" s="137"/>
      <c r="B86" s="176"/>
      <c r="C86" s="176"/>
      <c r="D86" s="176"/>
      <c r="E86" s="176"/>
      <c r="F86" s="176"/>
      <c r="G86" s="176"/>
      <c r="H86" s="176"/>
      <c r="I86" s="118"/>
      <c r="J86" s="131"/>
      <c r="K86" s="137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8"/>
      <c r="AE86" s="139"/>
      <c r="AF86" s="9"/>
    </row>
    <row r="87" spans="1:32" ht="15.75" x14ac:dyDescent="0.25">
      <c r="A87" s="142" t="s">
        <v>21</v>
      </c>
      <c r="B87" s="177"/>
      <c r="C87" s="177"/>
      <c r="D87" s="177"/>
      <c r="E87" s="177"/>
      <c r="F87" s="177"/>
      <c r="G87" s="177"/>
      <c r="H87" s="177"/>
      <c r="I87" s="143"/>
      <c r="J87" s="131"/>
      <c r="K87" s="142" t="s">
        <v>21</v>
      </c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8"/>
      <c r="AE87" s="139"/>
      <c r="AF87" s="9"/>
    </row>
    <row r="88" spans="1:32" ht="15" x14ac:dyDescent="0.2">
      <c r="A88" s="144" t="s">
        <v>145</v>
      </c>
      <c r="B88" s="176">
        <v>1.6</v>
      </c>
      <c r="C88" s="176">
        <v>2.4</v>
      </c>
      <c r="D88" s="176">
        <v>3.1</v>
      </c>
      <c r="E88" s="176">
        <v>6.7</v>
      </c>
      <c r="F88" s="176">
        <v>6.1</v>
      </c>
      <c r="G88" s="176">
        <v>4</v>
      </c>
      <c r="H88" s="176">
        <v>8.9</v>
      </c>
      <c r="I88" s="118"/>
      <c r="J88" s="131">
        <f t="shared" ref="J88:J90" si="120">RATE(5,,-C88,H88)</f>
        <v>0.29967795632802108</v>
      </c>
      <c r="K88" s="145" t="str">
        <f>A88</f>
        <v xml:space="preserve">   Cost of Goods Sold</v>
      </c>
      <c r="L88" s="131" t="e">
        <f>#REF!/#REF!</f>
        <v>#REF!</v>
      </c>
      <c r="M88" s="131" t="e">
        <f>#REF!/#REF!</f>
        <v>#REF!</v>
      </c>
      <c r="N88" s="131" t="e">
        <f>#REF!/#REF!</f>
        <v>#REF!</v>
      </c>
      <c r="O88" s="131" t="e">
        <f>#REF!/#REF!</f>
        <v>#REF!</v>
      </c>
      <c r="P88" s="131" t="e">
        <f>#REF!/#REF!</f>
        <v>#REF!</v>
      </c>
      <c r="Q88" s="131" t="e">
        <f>#REF!/#REF!</f>
        <v>#REF!</v>
      </c>
      <c r="R88" s="131" t="e">
        <f>#REF!/#REF!</f>
        <v>#REF!</v>
      </c>
      <c r="S88" s="131" t="e">
        <f>#REF!/#REF!</f>
        <v>#REF!</v>
      </c>
      <c r="T88" s="131" t="e">
        <f>#REF!/#REF!</f>
        <v>#REF!</v>
      </c>
      <c r="U88" s="131" t="e">
        <f>#REF!/#REF!</f>
        <v>#REF!</v>
      </c>
      <c r="V88" s="131">
        <f t="shared" ref="V88:AB90" si="121">B88/B$85</f>
        <v>6.5199674001629997E-3</v>
      </c>
      <c r="W88" s="131">
        <f t="shared" si="121"/>
        <v>8.8495575221238937E-3</v>
      </c>
      <c r="X88" s="131">
        <f t="shared" si="121"/>
        <v>1.1405445180279618E-2</v>
      </c>
      <c r="Y88" s="131">
        <f t="shared" si="121"/>
        <v>2.4144144144144144E-2</v>
      </c>
      <c r="Z88" s="131">
        <f t="shared" si="121"/>
        <v>2.291510142749812E-2</v>
      </c>
      <c r="AA88" s="131">
        <f t="shared" si="121"/>
        <v>1.5157256536566882E-2</v>
      </c>
      <c r="AB88" s="131">
        <f t="shared" si="121"/>
        <v>3.3840304182509509E-2</v>
      </c>
      <c r="AC88" s="131" t="e">
        <f t="shared" ref="AC88:AC90" si="122">I88/I$85</f>
        <v>#DIV/0!</v>
      </c>
      <c r="AD88" s="138">
        <f t="shared" ref="AD88:AD90" si="123">SUM(C88:G88)/SUM(C$85:G$85)</f>
        <v>1.6511180216200207E-2</v>
      </c>
      <c r="AE88" s="139"/>
      <c r="AF88" s="9"/>
    </row>
    <row r="89" spans="1:32" ht="15" x14ac:dyDescent="0.2">
      <c r="A89" s="144" t="s">
        <v>135</v>
      </c>
      <c r="B89" s="97">
        <v>36.1</v>
      </c>
      <c r="C89" s="97">
        <v>41</v>
      </c>
      <c r="D89" s="97">
        <v>46.5</v>
      </c>
      <c r="E89" s="97">
        <v>50</v>
      </c>
      <c r="F89" s="97">
        <v>46.7</v>
      </c>
      <c r="G89" s="97">
        <v>44.1</v>
      </c>
      <c r="H89" s="97">
        <v>38.9</v>
      </c>
      <c r="I89" s="120"/>
      <c r="J89" s="131">
        <f t="shared" si="120"/>
        <v>-1.0460467969399487E-2</v>
      </c>
      <c r="K89" s="145" t="str">
        <f>A89</f>
        <v xml:space="preserve">   General and Administrative</v>
      </c>
      <c r="L89" s="131" t="e">
        <f>#REF!/#REF!</f>
        <v>#REF!</v>
      </c>
      <c r="M89" s="131" t="e">
        <f>#REF!/#REF!</f>
        <v>#REF!</v>
      </c>
      <c r="N89" s="131" t="e">
        <f>#REF!/#REF!</f>
        <v>#REF!</v>
      </c>
      <c r="O89" s="131" t="e">
        <f>#REF!/#REF!</f>
        <v>#REF!</v>
      </c>
      <c r="P89" s="131" t="e">
        <f>#REF!/#REF!</f>
        <v>#REF!</v>
      </c>
      <c r="Q89" s="131" t="e">
        <f>#REF!/#REF!</f>
        <v>#REF!</v>
      </c>
      <c r="R89" s="131" t="e">
        <f>#REF!/#REF!</f>
        <v>#REF!</v>
      </c>
      <c r="S89" s="131" t="e">
        <f>#REF!/#REF!</f>
        <v>#REF!</v>
      </c>
      <c r="T89" s="131" t="e">
        <f>#REF!/#REF!</f>
        <v>#REF!</v>
      </c>
      <c r="U89" s="131" t="e">
        <f>#REF!/#REF!</f>
        <v>#REF!</v>
      </c>
      <c r="V89" s="131">
        <f t="shared" si="121"/>
        <v>0.14710676446617768</v>
      </c>
      <c r="W89" s="131">
        <f t="shared" si="121"/>
        <v>0.15117994100294985</v>
      </c>
      <c r="X89" s="131">
        <f t="shared" si="121"/>
        <v>0.17108167770419425</v>
      </c>
      <c r="Y89" s="131">
        <f t="shared" si="121"/>
        <v>0.18018018018018017</v>
      </c>
      <c r="Z89" s="131">
        <f t="shared" si="121"/>
        <v>0.17543200601051842</v>
      </c>
      <c r="AA89" s="131">
        <f t="shared" si="121"/>
        <v>0.16710875331564989</v>
      </c>
      <c r="AB89" s="131">
        <f t="shared" si="121"/>
        <v>0.14790874524714828</v>
      </c>
      <c r="AC89" s="131" t="e">
        <f t="shared" si="122"/>
        <v>#DIV/0!</v>
      </c>
      <c r="AD89" s="138">
        <f t="shared" si="123"/>
        <v>0.16903598400710795</v>
      </c>
      <c r="AE89" s="139"/>
      <c r="AF89" s="9"/>
    </row>
    <row r="90" spans="1:32" ht="15" x14ac:dyDescent="0.2">
      <c r="A90" s="144" t="s">
        <v>93</v>
      </c>
      <c r="B90" s="176">
        <v>40.1</v>
      </c>
      <c r="C90" s="176">
        <v>41.4</v>
      </c>
      <c r="D90" s="176">
        <v>35.299999999999997</v>
      </c>
      <c r="E90" s="176">
        <v>35.200000000000003</v>
      </c>
      <c r="F90" s="176">
        <v>32.5</v>
      </c>
      <c r="G90" s="176">
        <v>34.1</v>
      </c>
      <c r="H90" s="176">
        <v>37.6</v>
      </c>
      <c r="I90" s="118"/>
      <c r="J90" s="131">
        <f t="shared" si="120"/>
        <v>-1.9071165702120474E-2</v>
      </c>
      <c r="K90" s="145" t="str">
        <f>A90</f>
        <v xml:space="preserve">   Operating and Maintenance</v>
      </c>
      <c r="L90" s="131" t="e">
        <f>#REF!/#REF!</f>
        <v>#REF!</v>
      </c>
      <c r="M90" s="131" t="e">
        <f>#REF!/#REF!</f>
        <v>#REF!</v>
      </c>
      <c r="N90" s="131" t="e">
        <f>#REF!/#REF!</f>
        <v>#REF!</v>
      </c>
      <c r="O90" s="131" t="e">
        <f>#REF!/#REF!</f>
        <v>#REF!</v>
      </c>
      <c r="P90" s="131" t="e">
        <f>#REF!/#REF!</f>
        <v>#REF!</v>
      </c>
      <c r="Q90" s="131" t="e">
        <f>#REF!/#REF!</f>
        <v>#REF!</v>
      </c>
      <c r="R90" s="131" t="e">
        <f>#REF!/#REF!</f>
        <v>#REF!</v>
      </c>
      <c r="S90" s="131" t="e">
        <f>#REF!/#REF!</f>
        <v>#REF!</v>
      </c>
      <c r="T90" s="131" t="e">
        <f>#REF!/#REF!</f>
        <v>#REF!</v>
      </c>
      <c r="U90" s="131" t="e">
        <f>#REF!/#REF!</f>
        <v>#REF!</v>
      </c>
      <c r="V90" s="131">
        <f t="shared" si="121"/>
        <v>0.1634066829665852</v>
      </c>
      <c r="W90" s="131">
        <f t="shared" si="121"/>
        <v>0.15265486725663716</v>
      </c>
      <c r="X90" s="131">
        <f t="shared" si="121"/>
        <v>0.12987490802060336</v>
      </c>
      <c r="Y90" s="131">
        <f t="shared" si="121"/>
        <v>0.12684684684684686</v>
      </c>
      <c r="Z90" s="131">
        <f t="shared" si="121"/>
        <v>0.12208865514650639</v>
      </c>
      <c r="AA90" s="131">
        <f t="shared" si="121"/>
        <v>0.12921561197423267</v>
      </c>
      <c r="AB90" s="131">
        <f t="shared" si="121"/>
        <v>0.1429657794676806</v>
      </c>
      <c r="AC90" s="131" t="e">
        <f t="shared" si="122"/>
        <v>#DIV/0!</v>
      </c>
      <c r="AD90" s="138">
        <f t="shared" si="123"/>
        <v>0.13216348289649044</v>
      </c>
      <c r="AE90" s="139"/>
      <c r="AF90" s="9"/>
    </row>
    <row r="91" spans="1:32" ht="15" x14ac:dyDescent="0.2">
      <c r="A91" s="146" t="s">
        <v>192</v>
      </c>
      <c r="B91" s="176"/>
      <c r="C91" s="176"/>
      <c r="D91" s="176"/>
      <c r="E91" s="176">
        <v>0.9</v>
      </c>
      <c r="F91" s="176"/>
      <c r="G91" s="176"/>
      <c r="H91" s="176"/>
      <c r="I91" s="118"/>
      <c r="J91" s="131"/>
      <c r="K91" s="145" t="str">
        <f>+A91</f>
        <v xml:space="preserve">   Retirement Incentive</v>
      </c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8"/>
      <c r="AE91" s="139"/>
      <c r="AF91" s="9"/>
    </row>
    <row r="92" spans="1:32" ht="15" x14ac:dyDescent="0.2">
      <c r="A92" s="147" t="s">
        <v>49</v>
      </c>
      <c r="B92" s="176">
        <v>44.3</v>
      </c>
      <c r="C92" s="176">
        <v>47.4</v>
      </c>
      <c r="D92" s="176">
        <v>51.2</v>
      </c>
      <c r="E92" s="176">
        <v>54.3</v>
      </c>
      <c r="F92" s="176">
        <v>55.5</v>
      </c>
      <c r="G92" s="176">
        <v>54.5</v>
      </c>
      <c r="H92" s="176">
        <v>54.6</v>
      </c>
      <c r="I92" s="118"/>
      <c r="J92" s="131">
        <f>RATE(5,,-C92,H92)</f>
        <v>2.868607320050081E-2</v>
      </c>
      <c r="K92" s="145" t="str">
        <f>A92</f>
        <v xml:space="preserve">   Depreciation and amortization</v>
      </c>
      <c r="L92" s="131" t="e">
        <f>#REF!/#REF!</f>
        <v>#REF!</v>
      </c>
      <c r="M92" s="131" t="e">
        <f>#REF!/#REF!</f>
        <v>#REF!</v>
      </c>
      <c r="N92" s="131" t="e">
        <f>#REF!/#REF!</f>
        <v>#REF!</v>
      </c>
      <c r="O92" s="131" t="e">
        <f>#REF!/#REF!</f>
        <v>#REF!</v>
      </c>
      <c r="P92" s="131" t="e">
        <f>#REF!/#REF!</f>
        <v>#REF!</v>
      </c>
      <c r="Q92" s="131" t="e">
        <f>#REF!/#REF!</f>
        <v>#REF!</v>
      </c>
      <c r="R92" s="131" t="e">
        <f>#REF!/#REF!</f>
        <v>#REF!</v>
      </c>
      <c r="S92" s="131" t="e">
        <f>#REF!/#REF!</f>
        <v>#REF!</v>
      </c>
      <c r="T92" s="131" t="e">
        <f>#REF!/#REF!</f>
        <v>#REF!</v>
      </c>
      <c r="U92" s="131" t="e">
        <f>#REF!/#REF!</f>
        <v>#REF!</v>
      </c>
      <c r="V92" s="131">
        <f t="shared" ref="V92:AB92" si="124">B92/B$85</f>
        <v>0.18052159739201304</v>
      </c>
      <c r="W92" s="131">
        <f t="shared" si="124"/>
        <v>0.1747787610619469</v>
      </c>
      <c r="X92" s="131">
        <f t="shared" si="124"/>
        <v>0.188373804267844</v>
      </c>
      <c r="Y92" s="131">
        <f t="shared" si="124"/>
        <v>0.19567567567567568</v>
      </c>
      <c r="Z92" s="131">
        <f t="shared" si="124"/>
        <v>0.20848985725018784</v>
      </c>
      <c r="AA92" s="131">
        <f t="shared" si="124"/>
        <v>0.20651762031072377</v>
      </c>
      <c r="AB92" s="131">
        <f t="shared" si="124"/>
        <v>0.20760456273764258</v>
      </c>
      <c r="AC92" s="131" t="e">
        <f t="shared" ref="AC92" si="125">I92/I$85</f>
        <v>#DIV/0!</v>
      </c>
      <c r="AD92" s="138">
        <f t="shared" ref="AD92:AD96" si="126">SUM(C92:G92)/SUM(C$85:G$85)</f>
        <v>0.19465422775062935</v>
      </c>
      <c r="AE92" s="139"/>
      <c r="AF92" s="9"/>
    </row>
    <row r="93" spans="1:32" s="5" customFormat="1" ht="15" x14ac:dyDescent="0.2">
      <c r="A93" s="144" t="s">
        <v>175</v>
      </c>
      <c r="B93" s="176"/>
      <c r="C93" s="176"/>
      <c r="D93" s="176"/>
      <c r="E93" s="176"/>
      <c r="F93" s="176">
        <v>80.599999999999994</v>
      </c>
      <c r="G93" s="176"/>
      <c r="H93" s="176"/>
      <c r="I93" s="118"/>
      <c r="J93" s="131"/>
      <c r="K93" s="145" t="str">
        <f>A93</f>
        <v xml:space="preserve">    Impairment</v>
      </c>
      <c r="L93" s="131" t="e">
        <f>#REF!/#REF!</f>
        <v>#REF!</v>
      </c>
      <c r="M93" s="131" t="e">
        <f>#REF!/#REF!</f>
        <v>#REF!</v>
      </c>
      <c r="N93" s="131" t="e">
        <f>#REF!/#REF!</f>
        <v>#REF!</v>
      </c>
      <c r="O93" s="131" t="e">
        <f>#REF!/#REF!</f>
        <v>#REF!</v>
      </c>
      <c r="P93" s="131" t="e">
        <f>#REF!/#REF!</f>
        <v>#REF!</v>
      </c>
      <c r="Q93" s="131" t="e">
        <f>#REF!/#REF!</f>
        <v>#REF!</v>
      </c>
      <c r="R93" s="131" t="e">
        <f>#REF!/#REF!</f>
        <v>#REF!</v>
      </c>
      <c r="S93" s="131" t="e">
        <f>#REF!/#REF!</f>
        <v>#REF!</v>
      </c>
      <c r="T93" s="131"/>
      <c r="U93" s="131" t="e">
        <f>#REF!/#REF!</f>
        <v>#REF!</v>
      </c>
      <c r="V93" s="131"/>
      <c r="W93" s="131"/>
      <c r="X93" s="131"/>
      <c r="Y93" s="131"/>
      <c r="Z93" s="131">
        <f>F93/F$85</f>
        <v>0.30277986476333585</v>
      </c>
      <c r="AA93" s="131"/>
      <c r="AB93" s="131"/>
      <c r="AC93" s="131"/>
      <c r="AD93" s="138">
        <f t="shared" si="126"/>
        <v>5.9677180512364876E-2</v>
      </c>
      <c r="AE93" s="139"/>
      <c r="AF93" s="148"/>
    </row>
    <row r="94" spans="1:32" s="5" customFormat="1" ht="15" x14ac:dyDescent="0.2">
      <c r="A94" s="147" t="s">
        <v>50</v>
      </c>
      <c r="B94" s="176">
        <v>8.6</v>
      </c>
      <c r="C94" s="176">
        <v>9</v>
      </c>
      <c r="D94" s="176">
        <v>10.1</v>
      </c>
      <c r="E94" s="176">
        <v>9.1</v>
      </c>
      <c r="F94" s="176">
        <v>9.3000000000000007</v>
      </c>
      <c r="G94" s="176">
        <v>9.1</v>
      </c>
      <c r="H94" s="176">
        <v>8.8000000000000007</v>
      </c>
      <c r="I94" s="118"/>
      <c r="J94" s="140">
        <f t="shared" ref="J94:J96" si="127">RATE(5,,-C94,H94)</f>
        <v>-4.4844857010194056E-3</v>
      </c>
      <c r="K94" s="145" t="str">
        <f>A94</f>
        <v xml:space="preserve">   Taxes, other than income taxes</v>
      </c>
      <c r="L94" s="141" t="e">
        <f>#REF!/#REF!</f>
        <v>#REF!</v>
      </c>
      <c r="M94" s="141" t="e">
        <f>#REF!/#REF!</f>
        <v>#REF!</v>
      </c>
      <c r="N94" s="141" t="e">
        <f>#REF!/#REF!</f>
        <v>#REF!</v>
      </c>
      <c r="O94" s="141" t="e">
        <f>#REF!/#REF!</f>
        <v>#REF!</v>
      </c>
      <c r="P94" s="141" t="e">
        <f>#REF!/#REF!</f>
        <v>#REF!</v>
      </c>
      <c r="Q94" s="141" t="e">
        <f>#REF!/#REF!</f>
        <v>#REF!</v>
      </c>
      <c r="R94" s="141" t="e">
        <f>#REF!/#REF!</f>
        <v>#REF!</v>
      </c>
      <c r="S94" s="141" t="e">
        <f>#REF!/#REF!</f>
        <v>#REF!</v>
      </c>
      <c r="T94" s="131" t="e">
        <f>#REF!/#REF!</f>
        <v>#REF!</v>
      </c>
      <c r="U94" s="131" t="e">
        <f>#REF!/#REF!</f>
        <v>#REF!</v>
      </c>
      <c r="V94" s="131">
        <f t="shared" ref="V94:Y96" si="128">B94/B$85</f>
        <v>3.5044824775876122E-2</v>
      </c>
      <c r="W94" s="131">
        <f t="shared" si="128"/>
        <v>3.3185840707964605E-2</v>
      </c>
      <c r="X94" s="131">
        <f t="shared" si="128"/>
        <v>3.7159676232523912E-2</v>
      </c>
      <c r="Y94" s="131">
        <f t="shared" si="128"/>
        <v>3.2792792792792791E-2</v>
      </c>
      <c r="Z94" s="131">
        <f>F94/F$85</f>
        <v>3.4936138241923369E-2</v>
      </c>
      <c r="AA94" s="131">
        <f t="shared" ref="AA94:AB96" si="129">G94/G$85</f>
        <v>3.4482758620689655E-2</v>
      </c>
      <c r="AB94" s="131">
        <f t="shared" si="129"/>
        <v>3.3460076045627382E-2</v>
      </c>
      <c r="AC94" s="131" t="e">
        <f t="shared" ref="AC94:AC96" si="130">I94/I$85</f>
        <v>#DIV/0!</v>
      </c>
      <c r="AD94" s="140">
        <f t="shared" si="126"/>
        <v>3.4503183770176221E-2</v>
      </c>
      <c r="AE94" s="139"/>
      <c r="AF94" s="148"/>
    </row>
    <row r="95" spans="1:32" s="5" customFormat="1" ht="15" x14ac:dyDescent="0.2">
      <c r="A95" s="137" t="s">
        <v>44</v>
      </c>
      <c r="B95" s="98">
        <f t="shared" ref="B95:F95" si="131">SUM(B87:B94)</f>
        <v>130.70000000000002</v>
      </c>
      <c r="C95" s="98">
        <f t="shared" si="131"/>
        <v>141.19999999999999</v>
      </c>
      <c r="D95" s="98">
        <f t="shared" si="131"/>
        <v>146.20000000000002</v>
      </c>
      <c r="E95" s="98">
        <f t="shared" si="131"/>
        <v>156.20000000000002</v>
      </c>
      <c r="F95" s="98">
        <f t="shared" si="131"/>
        <v>230.70000000000002</v>
      </c>
      <c r="G95" s="98">
        <f t="shared" ref="G95:I95" si="132">SUM(G87:G94)</f>
        <v>145.79999999999998</v>
      </c>
      <c r="H95" s="98">
        <f t="shared" ref="H95" si="133">SUM(H87:H94)</f>
        <v>148.80000000000001</v>
      </c>
      <c r="I95" s="119">
        <f t="shared" si="132"/>
        <v>0</v>
      </c>
      <c r="J95" s="149">
        <f t="shared" si="127"/>
        <v>1.0540321377737241E-2</v>
      </c>
      <c r="K95" s="137" t="s">
        <v>44</v>
      </c>
      <c r="L95" s="141" t="e">
        <f>#REF!/#REF!</f>
        <v>#REF!</v>
      </c>
      <c r="M95" s="141" t="e">
        <f>#REF!/#REF!</f>
        <v>#REF!</v>
      </c>
      <c r="N95" s="141" t="e">
        <f>#REF!/#REF!</f>
        <v>#REF!</v>
      </c>
      <c r="O95" s="141" t="e">
        <f>#REF!/#REF!</f>
        <v>#REF!</v>
      </c>
      <c r="P95" s="141" t="e">
        <f>#REF!/#REF!</f>
        <v>#REF!</v>
      </c>
      <c r="Q95" s="141" t="e">
        <f>#REF!/#REF!</f>
        <v>#REF!</v>
      </c>
      <c r="R95" s="141" t="e">
        <f>#REF!/#REF!</f>
        <v>#REF!</v>
      </c>
      <c r="S95" s="141" t="e">
        <f>#REF!/#REF!</f>
        <v>#REF!</v>
      </c>
      <c r="T95" s="150" t="e">
        <f>#REF!/#REF!</f>
        <v>#REF!</v>
      </c>
      <c r="U95" s="150" t="e">
        <f>#REF!/#REF!</f>
        <v>#REF!</v>
      </c>
      <c r="V95" s="150">
        <f t="shared" si="128"/>
        <v>0.53259983700081515</v>
      </c>
      <c r="W95" s="150">
        <f t="shared" si="128"/>
        <v>0.52064896755162238</v>
      </c>
      <c r="X95" s="150">
        <f t="shared" si="128"/>
        <v>0.53789551140544523</v>
      </c>
      <c r="Y95" s="150">
        <f t="shared" si="128"/>
        <v>0.56288288288288291</v>
      </c>
      <c r="Z95" s="150">
        <f>F95/F$85</f>
        <v>0.86664162283997004</v>
      </c>
      <c r="AA95" s="150">
        <f t="shared" si="129"/>
        <v>0.5524820007578628</v>
      </c>
      <c r="AB95" s="150">
        <f t="shared" si="129"/>
        <v>0.56577946768060838</v>
      </c>
      <c r="AC95" s="150" t="e">
        <f t="shared" si="130"/>
        <v>#DIV/0!</v>
      </c>
      <c r="AD95" s="140">
        <f t="shared" si="126"/>
        <v>0.60721160965496823</v>
      </c>
      <c r="AE95" s="139"/>
      <c r="AF95" s="148"/>
    </row>
    <row r="96" spans="1:32" s="5" customFormat="1" ht="15" x14ac:dyDescent="0.2">
      <c r="A96" s="137" t="s">
        <v>13</v>
      </c>
      <c r="B96" s="98">
        <f t="shared" ref="B96:C96" si="134">B85-B95</f>
        <v>114.69999999999996</v>
      </c>
      <c r="C96" s="98">
        <f t="shared" si="134"/>
        <v>130</v>
      </c>
      <c r="D96" s="98">
        <f t="shared" ref="D96:E96" si="135">D85-D95</f>
        <v>125.6</v>
      </c>
      <c r="E96" s="98">
        <f t="shared" si="135"/>
        <v>121.29999999999998</v>
      </c>
      <c r="F96" s="98">
        <f t="shared" ref="F96:G96" si="136">F85-F95</f>
        <v>35.499999999999972</v>
      </c>
      <c r="G96" s="98">
        <f t="shared" si="136"/>
        <v>118.1</v>
      </c>
      <c r="H96" s="98">
        <f t="shared" ref="H96" si="137">H85-H95</f>
        <v>114.19999999999999</v>
      </c>
      <c r="I96" s="119">
        <f t="shared" ref="I96" si="138">I85-I95</f>
        <v>0</v>
      </c>
      <c r="J96" s="131">
        <f t="shared" si="127"/>
        <v>-2.5583677318823984E-2</v>
      </c>
      <c r="K96" s="137" t="s">
        <v>13</v>
      </c>
      <c r="L96" s="131" t="e">
        <f>#REF!/#REF!</f>
        <v>#REF!</v>
      </c>
      <c r="M96" s="131" t="e">
        <f>#REF!/#REF!</f>
        <v>#REF!</v>
      </c>
      <c r="N96" s="131" t="e">
        <f>#REF!/#REF!</f>
        <v>#REF!</v>
      </c>
      <c r="O96" s="131" t="e">
        <f>#REF!/#REF!</f>
        <v>#REF!</v>
      </c>
      <c r="P96" s="131" t="e">
        <f>#REF!/#REF!</f>
        <v>#REF!</v>
      </c>
      <c r="Q96" s="131" t="e">
        <f>#REF!/#REF!</f>
        <v>#REF!</v>
      </c>
      <c r="R96" s="131" t="e">
        <f>#REF!/#REF!</f>
        <v>#REF!</v>
      </c>
      <c r="S96" s="131" t="e">
        <f>#REF!/#REF!</f>
        <v>#REF!</v>
      </c>
      <c r="T96" s="150" t="e">
        <f>#REF!/#REF!</f>
        <v>#REF!</v>
      </c>
      <c r="U96" s="150" t="e">
        <f>#REF!/#REF!</f>
        <v>#REF!</v>
      </c>
      <c r="V96" s="150">
        <f t="shared" si="128"/>
        <v>0.46740016299918491</v>
      </c>
      <c r="W96" s="150">
        <f t="shared" si="128"/>
        <v>0.47935103244837762</v>
      </c>
      <c r="X96" s="150">
        <f t="shared" si="128"/>
        <v>0.46210448859455477</v>
      </c>
      <c r="Y96" s="150">
        <f t="shared" si="128"/>
        <v>0.43711711711711704</v>
      </c>
      <c r="Z96" s="150">
        <f>F96/F$85</f>
        <v>0.13335837716002996</v>
      </c>
      <c r="AA96" s="150">
        <f t="shared" si="129"/>
        <v>0.4475179992421372</v>
      </c>
      <c r="AB96" s="150">
        <f t="shared" si="129"/>
        <v>0.43422053231939162</v>
      </c>
      <c r="AC96" s="150" t="e">
        <f t="shared" si="130"/>
        <v>#DIV/0!</v>
      </c>
      <c r="AD96" s="138">
        <f t="shared" si="126"/>
        <v>0.39278839034503188</v>
      </c>
      <c r="AE96" s="151"/>
      <c r="AF96" s="148"/>
    </row>
    <row r="97" spans="1:33" ht="15" customHeight="1" x14ac:dyDescent="0.2">
      <c r="A97" s="37"/>
      <c r="B97" s="176"/>
      <c r="C97" s="176"/>
      <c r="D97" s="176"/>
      <c r="E97" s="176"/>
      <c r="F97" s="176"/>
      <c r="G97" s="176"/>
      <c r="H97" s="176"/>
      <c r="I97" s="118"/>
      <c r="J97" s="21"/>
      <c r="K97" s="37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43"/>
      <c r="AE97" s="4"/>
    </row>
    <row r="98" spans="1:33" ht="15" x14ac:dyDescent="0.2">
      <c r="A98" s="59" t="s">
        <v>51</v>
      </c>
      <c r="B98" s="176">
        <v>29.5</v>
      </c>
      <c r="C98" s="176">
        <v>28.8</v>
      </c>
      <c r="D98" s="176">
        <v>24.5</v>
      </c>
      <c r="E98" s="176">
        <v>26.3</v>
      </c>
      <c r="F98" s="176">
        <v>25.8</v>
      </c>
      <c r="G98" s="176">
        <v>26.1</v>
      </c>
      <c r="H98" s="176">
        <v>26</v>
      </c>
      <c r="I98" s="118"/>
      <c r="J98" s="21">
        <f t="shared" ref="J98:J102" si="139">RATE(5,,-C98,H98)</f>
        <v>-2.0247969879163882E-2</v>
      </c>
      <c r="K98" s="62" t="str">
        <f>A98</f>
        <v xml:space="preserve">   Interest expense (net)</v>
      </c>
      <c r="L98" s="43" t="e">
        <f>#REF!/#REF!</f>
        <v>#REF!</v>
      </c>
      <c r="M98" s="43" t="e">
        <f>#REF!/#REF!</f>
        <v>#REF!</v>
      </c>
      <c r="N98" s="43" t="e">
        <f>#REF!/#REF!</f>
        <v>#REF!</v>
      </c>
      <c r="O98" s="43" t="e">
        <f>#REF!/#REF!</f>
        <v>#REF!</v>
      </c>
      <c r="P98" s="43" t="e">
        <f>#REF!/#REF!</f>
        <v>#REF!</v>
      </c>
      <c r="Q98" s="43" t="e">
        <f>#REF!/#REF!</f>
        <v>#REF!</v>
      </c>
      <c r="R98" s="43" t="e">
        <f>#REF!/#REF!</f>
        <v>#REF!</v>
      </c>
      <c r="S98" s="43" t="e">
        <f>#REF!/#REF!</f>
        <v>#REF!</v>
      </c>
      <c r="T98" s="43" t="e">
        <f>#REF!/#REF!</f>
        <v>#REF!</v>
      </c>
      <c r="U98" s="43" t="e">
        <f>#REF!/#REF!</f>
        <v>#REF!</v>
      </c>
      <c r="V98" s="43">
        <f t="shared" ref="V98:AB100" si="140">B98/B$85</f>
        <v>0.12021189894050531</v>
      </c>
      <c r="W98" s="43">
        <f t="shared" si="140"/>
        <v>0.10619469026548674</v>
      </c>
      <c r="X98" s="43">
        <f t="shared" si="140"/>
        <v>9.0139808682855038E-2</v>
      </c>
      <c r="Y98" s="43">
        <f t="shared" si="140"/>
        <v>9.4774774774774778E-2</v>
      </c>
      <c r="Z98" s="43">
        <f t="shared" si="140"/>
        <v>9.6919609316303543E-2</v>
      </c>
      <c r="AA98" s="43">
        <f t="shared" si="140"/>
        <v>9.8901098901098911E-2</v>
      </c>
      <c r="AB98" s="43">
        <f t="shared" si="140"/>
        <v>9.8859315589353611E-2</v>
      </c>
      <c r="AC98" s="43" t="e">
        <f t="shared" ref="AC98:AC100" si="141">I98/I$85</f>
        <v>#DIV/0!</v>
      </c>
      <c r="AD98" s="43">
        <f t="shared" ref="AD98:AD102" si="142">SUM(C98:G98)/SUM(C$85:G$85)</f>
        <v>9.7364134458759077E-2</v>
      </c>
      <c r="AE98" s="2"/>
    </row>
    <row r="99" spans="1:33" ht="15" x14ac:dyDescent="0.2">
      <c r="A99" s="58" t="s">
        <v>105</v>
      </c>
      <c r="B99" s="176">
        <v>-2.5</v>
      </c>
      <c r="C99" s="176">
        <v>-0.4</v>
      </c>
      <c r="D99" s="176">
        <v>-0.9</v>
      </c>
      <c r="E99" s="176">
        <v>-0.6</v>
      </c>
      <c r="F99" s="176">
        <v>-1.8</v>
      </c>
      <c r="G99" s="176">
        <v>-1.2</v>
      </c>
      <c r="H99" s="176">
        <v>-0.9</v>
      </c>
      <c r="I99" s="118"/>
      <c r="J99" s="21">
        <f t="shared" si="139"/>
        <v>0.1760790225212544</v>
      </c>
      <c r="K99" s="62" t="str">
        <f>A99</f>
        <v xml:space="preserve">   Interest and Other Income</v>
      </c>
      <c r="L99" s="43" t="e">
        <f>#REF!/#REF!</f>
        <v>#REF!</v>
      </c>
      <c r="M99" s="43" t="e">
        <f>#REF!/#REF!</f>
        <v>#REF!</v>
      </c>
      <c r="N99" s="43" t="e">
        <f>#REF!/#REF!</f>
        <v>#REF!</v>
      </c>
      <c r="O99" s="43" t="e">
        <f>#REF!/#REF!</f>
        <v>#REF!</v>
      </c>
      <c r="P99" s="43" t="e">
        <f>#REF!/#REF!</f>
        <v>#REF!</v>
      </c>
      <c r="Q99" s="43" t="e">
        <f>#REF!/#REF!</f>
        <v>#REF!</v>
      </c>
      <c r="R99" s="43" t="e">
        <f>#REF!/#REF!</f>
        <v>#REF!</v>
      </c>
      <c r="S99" s="43" t="e">
        <f>#REF!/#REF!</f>
        <v>#REF!</v>
      </c>
      <c r="T99" s="43" t="e">
        <f>#REF!/#REF!</f>
        <v>#REF!</v>
      </c>
      <c r="U99" s="43" t="e">
        <f>#REF!/#REF!</f>
        <v>#REF!</v>
      </c>
      <c r="V99" s="43">
        <f t="shared" si="140"/>
        <v>-1.0187449062754686E-2</v>
      </c>
      <c r="W99" s="43">
        <f t="shared" si="140"/>
        <v>-1.4749262536873158E-3</v>
      </c>
      <c r="X99" s="43">
        <f t="shared" si="140"/>
        <v>-3.3112582781456954E-3</v>
      </c>
      <c r="Y99" s="43">
        <f t="shared" si="140"/>
        <v>-2.1621621621621622E-3</v>
      </c>
      <c r="Z99" s="43">
        <f t="shared" si="140"/>
        <v>-6.7618332081142004E-3</v>
      </c>
      <c r="AA99" s="43">
        <f t="shared" si="140"/>
        <v>-4.5471769609700648E-3</v>
      </c>
      <c r="AB99" s="43">
        <f t="shared" si="140"/>
        <v>-3.4220532319391636E-3</v>
      </c>
      <c r="AC99" s="43" t="e">
        <f t="shared" si="141"/>
        <v>#DIV/0!</v>
      </c>
      <c r="AD99" s="43">
        <f t="shared" si="142"/>
        <v>-3.6280171775507188E-3</v>
      </c>
      <c r="AE99" s="2"/>
      <c r="AG99" t="e">
        <f>AVERAGE(#REF!)</f>
        <v>#REF!</v>
      </c>
    </row>
    <row r="100" spans="1:33" ht="15" x14ac:dyDescent="0.2">
      <c r="A100" s="59" t="s">
        <v>55</v>
      </c>
      <c r="B100" s="176">
        <v>-0.5</v>
      </c>
      <c r="C100" s="176">
        <v>-0.8</v>
      </c>
      <c r="D100" s="176">
        <v>-0.3</v>
      </c>
      <c r="E100" s="176">
        <v>-2.7</v>
      </c>
      <c r="F100" s="176"/>
      <c r="G100" s="176">
        <v>0.5</v>
      </c>
      <c r="H100" s="176">
        <v>-0.2</v>
      </c>
      <c r="I100" s="118"/>
      <c r="J100" s="21">
        <f t="shared" si="139"/>
        <v>-0.24214171674476961</v>
      </c>
      <c r="K100" s="62" t="str">
        <f>A100</f>
        <v xml:space="preserve">   Loss (Gain) on Sale of Assets</v>
      </c>
      <c r="L100" s="43" t="e">
        <f>#REF!/#REF!</f>
        <v>#REF!</v>
      </c>
      <c r="M100" s="43" t="e">
        <f>#REF!/#REF!</f>
        <v>#REF!</v>
      </c>
      <c r="N100" s="43" t="e">
        <f>#REF!/#REF!</f>
        <v>#REF!</v>
      </c>
      <c r="O100" s="43" t="e">
        <f>#REF!/#REF!</f>
        <v>#REF!</v>
      </c>
      <c r="P100" s="43" t="e">
        <f>#REF!/#REF!</f>
        <v>#REF!</v>
      </c>
      <c r="Q100" s="43" t="e">
        <f>#REF!/#REF!</f>
        <v>#REF!</v>
      </c>
      <c r="R100" s="43" t="e">
        <f>#REF!/#REF!</f>
        <v>#REF!</v>
      </c>
      <c r="S100" s="43" t="e">
        <f>#REF!/#REF!</f>
        <v>#REF!</v>
      </c>
      <c r="T100" s="43" t="e">
        <f>#REF!/#REF!</f>
        <v>#REF!</v>
      </c>
      <c r="U100" s="43" t="e">
        <f>#REF!/#REF!</f>
        <v>#REF!</v>
      </c>
      <c r="V100" s="43">
        <f t="shared" si="140"/>
        <v>-2.0374898125509375E-3</v>
      </c>
      <c r="W100" s="43">
        <f t="shared" si="140"/>
        <v>-2.9498525073746317E-3</v>
      </c>
      <c r="X100" s="43">
        <f t="shared" si="140"/>
        <v>-1.1037527593818985E-3</v>
      </c>
      <c r="Y100" s="43">
        <f t="shared" si="140"/>
        <v>-9.729729729729731E-3</v>
      </c>
      <c r="Z100" s="43">
        <f t="shared" si="140"/>
        <v>0</v>
      </c>
      <c r="AA100" s="43">
        <f t="shared" si="140"/>
        <v>1.8946570670708603E-3</v>
      </c>
      <c r="AB100" s="43">
        <f t="shared" si="140"/>
        <v>-7.6045627376425862E-4</v>
      </c>
      <c r="AC100" s="43" t="e">
        <f t="shared" si="141"/>
        <v>#DIV/0!</v>
      </c>
      <c r="AD100" s="43">
        <f t="shared" si="142"/>
        <v>-2.443358507330076E-3</v>
      </c>
      <c r="AE100" s="2"/>
    </row>
    <row r="101" spans="1:33" ht="15" x14ac:dyDescent="0.2">
      <c r="A101" s="37" t="s">
        <v>136</v>
      </c>
      <c r="B101" s="176">
        <v>-3.8</v>
      </c>
      <c r="C101" s="176">
        <v>-3.8</v>
      </c>
      <c r="D101" s="176">
        <v>-3.8</v>
      </c>
      <c r="E101" s="176">
        <v>-3.7</v>
      </c>
      <c r="F101" s="176">
        <v>-3.7</v>
      </c>
      <c r="G101" s="176">
        <v>-3.5</v>
      </c>
      <c r="H101" s="176">
        <v>-3.7</v>
      </c>
      <c r="I101" s="118"/>
      <c r="J101" s="25">
        <f t="shared" si="139"/>
        <v>-5.3194507631455336E-3</v>
      </c>
      <c r="K101" s="62" t="str">
        <f>A101</f>
        <v xml:space="preserve">   Income from Unconsolidated Affiliate</v>
      </c>
      <c r="L101" s="42" t="e">
        <f>#REF!/#REF!</f>
        <v>#REF!</v>
      </c>
      <c r="M101" s="42" t="e">
        <f>#REF!/#REF!</f>
        <v>#REF!</v>
      </c>
      <c r="N101" s="42" t="e">
        <f>#REF!/#REF!</f>
        <v>#REF!</v>
      </c>
      <c r="O101" s="42" t="e">
        <f>#REF!/#REF!</f>
        <v>#REF!</v>
      </c>
      <c r="P101" s="42" t="e">
        <f>#REF!/#REF!</f>
        <v>#REF!</v>
      </c>
      <c r="Q101" s="42" t="e">
        <f>#REF!/#REF!</f>
        <v>#REF!</v>
      </c>
      <c r="R101" s="42" t="e">
        <f>#REF!/#REF!</f>
        <v>#REF!</v>
      </c>
      <c r="S101" s="42" t="e">
        <f>#REF!/#REF!</f>
        <v>#REF!</v>
      </c>
      <c r="T101" s="42"/>
      <c r="U101" s="42" t="e">
        <f>#REF!/#REF!</f>
        <v>#REF!</v>
      </c>
      <c r="V101" s="42">
        <f t="shared" ref="V101:AB102" si="143">B101/B$85</f>
        <v>-1.5484922575387123E-2</v>
      </c>
      <c r="W101" s="42">
        <f t="shared" si="143"/>
        <v>-1.4011799410029498E-2</v>
      </c>
      <c r="X101" s="42">
        <f t="shared" si="143"/>
        <v>-1.3980868285504046E-2</v>
      </c>
      <c r="Y101" s="42">
        <f t="shared" si="143"/>
        <v>-1.3333333333333334E-2</v>
      </c>
      <c r="Z101" s="42">
        <f t="shared" si="143"/>
        <v>-1.3899323816679189E-2</v>
      </c>
      <c r="AA101" s="42">
        <f t="shared" si="143"/>
        <v>-1.3262599469496022E-2</v>
      </c>
      <c r="AB101" s="42">
        <f t="shared" si="143"/>
        <v>-1.4068441064638783E-2</v>
      </c>
      <c r="AC101" s="42" t="e">
        <f t="shared" ref="AC101:AC102" si="144">I101/I$85</f>
        <v>#DIV/0!</v>
      </c>
      <c r="AD101" s="25">
        <f t="shared" si="142"/>
        <v>-1.3697615874426182E-2</v>
      </c>
      <c r="AE101" s="2"/>
    </row>
    <row r="102" spans="1:33" ht="15" x14ac:dyDescent="0.2">
      <c r="A102" s="37" t="s">
        <v>52</v>
      </c>
      <c r="B102" s="98">
        <f t="shared" ref="B102" si="145">SUM(B98:B101)</f>
        <v>22.7</v>
      </c>
      <c r="C102" s="98">
        <f t="shared" ref="C102:E102" si="146">SUM(C98:C101)</f>
        <v>23.8</v>
      </c>
      <c r="D102" s="98">
        <f t="shared" ref="D102" si="147">SUM(D98:D101)</f>
        <v>19.5</v>
      </c>
      <c r="E102" s="98">
        <f t="shared" si="146"/>
        <v>19.3</v>
      </c>
      <c r="F102" s="98">
        <f t="shared" ref="F102:G102" si="148">SUM(F98:F101)</f>
        <v>20.3</v>
      </c>
      <c r="G102" s="98">
        <f t="shared" si="148"/>
        <v>21.900000000000002</v>
      </c>
      <c r="H102" s="98">
        <f t="shared" ref="H102" si="149">SUM(H98:H101)</f>
        <v>21.200000000000003</v>
      </c>
      <c r="I102" s="119">
        <f t="shared" ref="I102" si="150">SUM(I98:I101)</f>
        <v>0</v>
      </c>
      <c r="J102" s="21">
        <f t="shared" si="139"/>
        <v>-2.2871274565318553E-2</v>
      </c>
      <c r="K102" s="62" t="str">
        <f>A102</f>
        <v>Total Other Income/Expense</v>
      </c>
      <c r="L102" s="43" t="e">
        <f>#REF!/#REF!</f>
        <v>#REF!</v>
      </c>
      <c r="M102" s="43" t="e">
        <f>#REF!/#REF!</f>
        <v>#REF!</v>
      </c>
      <c r="N102" s="43" t="e">
        <f>#REF!/#REF!</f>
        <v>#REF!</v>
      </c>
      <c r="O102" s="43" t="e">
        <f>#REF!/#REF!</f>
        <v>#REF!</v>
      </c>
      <c r="P102" s="43" t="e">
        <f>#REF!/#REF!</f>
        <v>#REF!</v>
      </c>
      <c r="Q102" s="43" t="e">
        <f>#REF!/#REF!</f>
        <v>#REF!</v>
      </c>
      <c r="R102" s="43" t="e">
        <f>#REF!/#REF!</f>
        <v>#REF!</v>
      </c>
      <c r="S102" s="43" t="e">
        <f>#REF!/#REF!</f>
        <v>#REF!</v>
      </c>
      <c r="T102" s="43" t="e">
        <f>#REF!/#REF!</f>
        <v>#REF!</v>
      </c>
      <c r="U102" s="43" t="e">
        <f>#REF!/#REF!</f>
        <v>#REF!</v>
      </c>
      <c r="V102" s="43">
        <f t="shared" si="143"/>
        <v>9.2502037489812561E-2</v>
      </c>
      <c r="W102" s="43">
        <f t="shared" si="143"/>
        <v>8.7758112094395282E-2</v>
      </c>
      <c r="X102" s="43">
        <f t="shared" si="143"/>
        <v>7.1743929359823391E-2</v>
      </c>
      <c r="Y102" s="43">
        <f t="shared" si="143"/>
        <v>6.9549549549549547E-2</v>
      </c>
      <c r="Z102" s="43">
        <f t="shared" si="143"/>
        <v>7.6258452291510154E-2</v>
      </c>
      <c r="AA102" s="43">
        <f t="shared" si="143"/>
        <v>8.2985979537703689E-2</v>
      </c>
      <c r="AB102" s="43">
        <f t="shared" si="143"/>
        <v>8.0608365019011419E-2</v>
      </c>
      <c r="AC102" s="43" t="e">
        <f t="shared" si="144"/>
        <v>#DIV/0!</v>
      </c>
      <c r="AD102" s="43">
        <f t="shared" si="142"/>
        <v>7.7595142899452102E-2</v>
      </c>
      <c r="AE102" s="2"/>
    </row>
    <row r="103" spans="1:33" ht="12" customHeight="1" x14ac:dyDescent="0.2">
      <c r="A103" s="37"/>
      <c r="B103" s="176"/>
      <c r="C103" s="176"/>
      <c r="D103" s="176"/>
      <c r="E103" s="176"/>
      <c r="F103" s="176"/>
      <c r="G103" s="176"/>
      <c r="H103" s="176"/>
      <c r="I103" s="118"/>
      <c r="J103" s="21"/>
      <c r="K103" s="62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2"/>
    </row>
    <row r="104" spans="1:33" ht="15" x14ac:dyDescent="0.2">
      <c r="A104" s="37" t="s">
        <v>12</v>
      </c>
      <c r="B104" s="97">
        <f t="shared" ref="B104" si="151">B96-B102</f>
        <v>91.999999999999957</v>
      </c>
      <c r="C104" s="97">
        <f t="shared" ref="C104:E104" si="152">C96-C102</f>
        <v>106.2</v>
      </c>
      <c r="D104" s="97">
        <f t="shared" ref="D104" si="153">D96-D102</f>
        <v>106.1</v>
      </c>
      <c r="E104" s="97">
        <f t="shared" si="152"/>
        <v>101.99999999999999</v>
      </c>
      <c r="F104" s="97">
        <f t="shared" ref="F104:G104" si="154">F96-F102</f>
        <v>15.199999999999971</v>
      </c>
      <c r="G104" s="97">
        <f t="shared" si="154"/>
        <v>96.199999999999989</v>
      </c>
      <c r="H104" s="97">
        <f t="shared" ref="H104" si="155">H96-H102</f>
        <v>92.999999999999986</v>
      </c>
      <c r="I104" s="120">
        <f t="shared" ref="I104" si="156">I96-I102</f>
        <v>0</v>
      </c>
      <c r="J104" s="25">
        <f>RATE(5,,-C104,H104)</f>
        <v>-2.6195703484973874E-2</v>
      </c>
      <c r="K104" s="62" t="str">
        <f>A104</f>
        <v>Earnings Before Taxes</v>
      </c>
      <c r="L104" s="21" t="e">
        <f>#REF!/#REF!</f>
        <v>#REF!</v>
      </c>
      <c r="M104" s="21" t="e">
        <f>#REF!/#REF!</f>
        <v>#REF!</v>
      </c>
      <c r="N104" s="21" t="e">
        <f>#REF!/#REF!</f>
        <v>#REF!</v>
      </c>
      <c r="O104" s="21" t="e">
        <f>#REF!/#REF!</f>
        <v>#REF!</v>
      </c>
      <c r="P104" s="21" t="e">
        <f>#REF!/#REF!</f>
        <v>#REF!</v>
      </c>
      <c r="Q104" s="21" t="e">
        <f>#REF!/#REF!</f>
        <v>#REF!</v>
      </c>
      <c r="R104" s="21" t="e">
        <f>#REF!/#REF!</f>
        <v>#REF!</v>
      </c>
      <c r="S104" s="21" t="e">
        <f>#REF!/#REF!</f>
        <v>#REF!</v>
      </c>
      <c r="T104" s="21" t="e">
        <f>#REF!/#REF!</f>
        <v>#REF!</v>
      </c>
      <c r="U104" s="21" t="e">
        <f>#REF!/#REF!</f>
        <v>#REF!</v>
      </c>
      <c r="V104" s="21">
        <f t="shared" ref="V104:AB104" si="157">B104/B$85</f>
        <v>0.37489812550937229</v>
      </c>
      <c r="W104" s="21">
        <f t="shared" si="157"/>
        <v>0.39159292035398235</v>
      </c>
      <c r="X104" s="21">
        <f t="shared" si="157"/>
        <v>0.3903605592347314</v>
      </c>
      <c r="Y104" s="21">
        <f t="shared" si="157"/>
        <v>0.36756756756756753</v>
      </c>
      <c r="Z104" s="21">
        <f t="shared" si="157"/>
        <v>5.7099924868519801E-2</v>
      </c>
      <c r="AA104" s="21">
        <f t="shared" si="157"/>
        <v>0.3645320197044335</v>
      </c>
      <c r="AB104" s="21">
        <f t="shared" si="157"/>
        <v>0.3536121673003802</v>
      </c>
      <c r="AC104" s="21" t="e">
        <f t="shared" ref="AC104" si="158">I104/I$85</f>
        <v>#DIV/0!</v>
      </c>
      <c r="AD104" s="43">
        <f>SUM(C104:G104)/SUM(C$85:G$85)</f>
        <v>0.31519324744557975</v>
      </c>
      <c r="AE104" s="2"/>
    </row>
    <row r="105" spans="1:33" ht="15" x14ac:dyDescent="0.2">
      <c r="A105" s="37" t="s">
        <v>53</v>
      </c>
      <c r="B105" s="98"/>
      <c r="C105" s="98"/>
      <c r="D105" s="98"/>
      <c r="E105" s="98"/>
      <c r="F105" s="98"/>
      <c r="G105" s="98"/>
      <c r="H105" s="98"/>
      <c r="I105" s="119"/>
      <c r="J105" s="21"/>
      <c r="K105" s="62" t="str">
        <f>A105</f>
        <v>Extraordinary Items</v>
      </c>
      <c r="L105" s="21" t="e">
        <f>#REF!/#REF!</f>
        <v>#REF!</v>
      </c>
      <c r="M105" s="21" t="e">
        <f>#REF!/#REF!</f>
        <v>#REF!</v>
      </c>
      <c r="N105" s="21" t="e">
        <f>#REF!/#REF!</f>
        <v>#REF!</v>
      </c>
      <c r="O105" s="21" t="e">
        <f>#REF!/#REF!</f>
        <v>#REF!</v>
      </c>
      <c r="P105" s="21" t="e">
        <f>#REF!/#REF!</f>
        <v>#REF!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"/>
    </row>
    <row r="106" spans="1:33" ht="15" x14ac:dyDescent="0.2">
      <c r="A106" s="37" t="s">
        <v>15</v>
      </c>
      <c r="B106" s="97">
        <v>33.799999999999997</v>
      </c>
      <c r="C106" s="97">
        <v>38.799999999999997</v>
      </c>
      <c r="D106" s="97">
        <v>38.200000000000003</v>
      </c>
      <c r="E106" s="97">
        <v>37.299999999999997</v>
      </c>
      <c r="F106" s="97">
        <v>7</v>
      </c>
      <c r="G106" s="97">
        <v>35.6</v>
      </c>
      <c r="H106" s="97">
        <v>33.4</v>
      </c>
      <c r="I106" s="120"/>
      <c r="J106" s="25">
        <f t="shared" ref="J106:J107" si="159">RATE(5,,-C106,H106)</f>
        <v>-2.9528137256112346E-2</v>
      </c>
      <c r="K106" s="62" t="str">
        <f>A106</f>
        <v>Income Taxes</v>
      </c>
      <c r="L106" s="42" t="e">
        <f>#REF!/#REF!</f>
        <v>#REF!</v>
      </c>
      <c r="M106" s="42" t="e">
        <f>#REF!/#REF!</f>
        <v>#REF!</v>
      </c>
      <c r="N106" s="42" t="e">
        <f>#REF!/#REF!</f>
        <v>#REF!</v>
      </c>
      <c r="O106" s="42" t="e">
        <f>#REF!/#REF!</f>
        <v>#REF!</v>
      </c>
      <c r="P106" s="42" t="e">
        <f>#REF!/#REF!</f>
        <v>#REF!</v>
      </c>
      <c r="Q106" s="42" t="e">
        <f>#REF!/#REF!</f>
        <v>#REF!</v>
      </c>
      <c r="R106" s="42" t="e">
        <f>#REF!/#REF!</f>
        <v>#REF!</v>
      </c>
      <c r="S106" s="42" t="e">
        <f>#REF!/#REF!</f>
        <v>#REF!</v>
      </c>
      <c r="T106" s="42" t="e">
        <f>#REF!/#REF!</f>
        <v>#REF!</v>
      </c>
      <c r="U106" s="42" t="e">
        <f>#REF!/#REF!</f>
        <v>#REF!</v>
      </c>
      <c r="V106" s="42">
        <f t="shared" ref="V106:AB107" si="160">B106/B$85</f>
        <v>0.13773431132844335</v>
      </c>
      <c r="W106" s="42">
        <f t="shared" si="160"/>
        <v>0.14306784660766961</v>
      </c>
      <c r="X106" s="42">
        <f t="shared" si="160"/>
        <v>0.14054451802796175</v>
      </c>
      <c r="Y106" s="42">
        <f t="shared" si="160"/>
        <v>0.1344144144144144</v>
      </c>
      <c r="Z106" s="42">
        <f t="shared" si="160"/>
        <v>2.6296018031555221E-2</v>
      </c>
      <c r="AA106" s="42">
        <f t="shared" si="160"/>
        <v>0.13489958317544526</v>
      </c>
      <c r="AB106" s="42">
        <f t="shared" si="160"/>
        <v>0.12699619771863116</v>
      </c>
      <c r="AC106" s="42" t="e">
        <f t="shared" ref="AC106:AC107" si="161">I106/I$85</f>
        <v>#DIV/0!</v>
      </c>
      <c r="AD106" s="25">
        <f t="shared" ref="AD106:AD107" si="162">SUM(C106:G106)/SUM(C$85:G$85)</f>
        <v>0.11617059084851178</v>
      </c>
      <c r="AE106" s="2"/>
    </row>
    <row r="107" spans="1:33" ht="16.5" thickBot="1" x14ac:dyDescent="0.3">
      <c r="A107" s="49" t="s">
        <v>17</v>
      </c>
      <c r="B107" s="178">
        <f t="shared" ref="B107:C107" si="163">B104-B105-B106</f>
        <v>58.19999999999996</v>
      </c>
      <c r="C107" s="178">
        <f t="shared" si="163"/>
        <v>67.400000000000006</v>
      </c>
      <c r="D107" s="178">
        <f t="shared" ref="D107" si="164">D104-D105-D106</f>
        <v>67.899999999999991</v>
      </c>
      <c r="E107" s="178">
        <f>E104-E105-E106</f>
        <v>64.699999999999989</v>
      </c>
      <c r="F107" s="178">
        <f>F104-F105-F106</f>
        <v>8.1999999999999709</v>
      </c>
      <c r="G107" s="178">
        <f t="shared" ref="G107:I107" si="165">G104-G105-G106</f>
        <v>60.599999999999987</v>
      </c>
      <c r="H107" s="178">
        <f t="shared" ref="H107" si="166">H104-H105-H106</f>
        <v>59.599999999999987</v>
      </c>
      <c r="I107" s="129">
        <f t="shared" si="165"/>
        <v>0</v>
      </c>
      <c r="J107" s="45">
        <f t="shared" si="159"/>
        <v>-2.429782604152677E-2</v>
      </c>
      <c r="K107" s="66" t="str">
        <f>A107</f>
        <v>Net Income</v>
      </c>
      <c r="L107" s="47" t="e">
        <f>#REF!/#REF!</f>
        <v>#REF!</v>
      </c>
      <c r="M107" s="47" t="e">
        <f>#REF!/#REF!</f>
        <v>#REF!</v>
      </c>
      <c r="N107" s="47" t="e">
        <f>#REF!/#REF!</f>
        <v>#REF!</v>
      </c>
      <c r="O107" s="47" t="e">
        <f>#REF!/#REF!</f>
        <v>#REF!</v>
      </c>
      <c r="P107" s="47" t="e">
        <f>#REF!/#REF!</f>
        <v>#REF!</v>
      </c>
      <c r="Q107" s="47" t="e">
        <f>#REF!/#REF!</f>
        <v>#REF!</v>
      </c>
      <c r="R107" s="47" t="e">
        <f>#REF!/#REF!</f>
        <v>#REF!</v>
      </c>
      <c r="S107" s="47" t="e">
        <f>#REF!/#REF!</f>
        <v>#REF!</v>
      </c>
      <c r="T107" s="47" t="e">
        <f>#REF!/#REF!</f>
        <v>#REF!</v>
      </c>
      <c r="U107" s="47" t="e">
        <f>#REF!/#REF!</f>
        <v>#REF!</v>
      </c>
      <c r="V107" s="47">
        <f t="shared" si="160"/>
        <v>0.23716381418092897</v>
      </c>
      <c r="W107" s="47">
        <f t="shared" si="160"/>
        <v>0.24852507374631272</v>
      </c>
      <c r="X107" s="47">
        <f t="shared" si="160"/>
        <v>0.24981604120676965</v>
      </c>
      <c r="Y107" s="47">
        <f t="shared" si="160"/>
        <v>0.2331531531531531</v>
      </c>
      <c r="Z107" s="47">
        <f t="shared" si="160"/>
        <v>3.080390683696458E-2</v>
      </c>
      <c r="AA107" s="47">
        <f t="shared" si="160"/>
        <v>0.22963243652898824</v>
      </c>
      <c r="AB107" s="47">
        <f t="shared" si="160"/>
        <v>0.22661596958174901</v>
      </c>
      <c r="AC107" s="47" t="e">
        <f t="shared" si="161"/>
        <v>#DIV/0!</v>
      </c>
      <c r="AD107" s="128">
        <f t="shared" si="162"/>
        <v>0.19902265659706794</v>
      </c>
      <c r="AE107" s="2"/>
    </row>
    <row r="108" spans="1:33" ht="15.75" thickTop="1" x14ac:dyDescent="0.2">
      <c r="A108" s="37"/>
      <c r="B108" s="179"/>
      <c r="C108" s="179"/>
      <c r="D108" s="179"/>
      <c r="E108" s="179"/>
      <c r="F108" s="179"/>
      <c r="G108" s="179"/>
      <c r="H108" s="179"/>
      <c r="I108" s="78"/>
      <c r="J108" s="21"/>
      <c r="K108" s="62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21"/>
      <c r="AE108" s="2"/>
    </row>
    <row r="109" spans="1:33" ht="15" x14ac:dyDescent="0.2">
      <c r="A109" s="37" t="s">
        <v>56</v>
      </c>
      <c r="B109" s="97"/>
      <c r="C109" s="97"/>
      <c r="D109" s="97"/>
      <c r="E109" s="97"/>
      <c r="F109" s="97"/>
      <c r="G109" s="97"/>
      <c r="H109" s="97"/>
      <c r="I109" s="120"/>
      <c r="J109" s="21"/>
      <c r="K109" s="62" t="str">
        <f>A109</f>
        <v>Preferred Stock Dividends</v>
      </c>
      <c r="L109" s="21" t="e">
        <f>#REF!/#REF!</f>
        <v>#REF!</v>
      </c>
      <c r="M109" s="21" t="e">
        <f>#REF!/#REF!</f>
        <v>#REF!</v>
      </c>
      <c r="N109" s="21" t="e">
        <f>#REF!/#REF!</f>
        <v>#REF!</v>
      </c>
      <c r="O109" s="21" t="e">
        <f>#REF!/#REF!</f>
        <v>#REF!</v>
      </c>
      <c r="P109" s="21" t="e">
        <f>#REF!/#REF!</f>
        <v>#REF!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"/>
    </row>
    <row r="110" spans="1:33" ht="15" x14ac:dyDescent="0.2">
      <c r="A110" s="37" t="s">
        <v>57</v>
      </c>
      <c r="B110" s="97">
        <v>27.9</v>
      </c>
      <c r="C110" s="97">
        <v>29</v>
      </c>
      <c r="D110" s="97">
        <v>30.9</v>
      </c>
      <c r="E110" s="97">
        <v>63</v>
      </c>
      <c r="F110" s="97">
        <v>64</v>
      </c>
      <c r="G110" s="97">
        <v>64</v>
      </c>
      <c r="H110" s="97">
        <v>64</v>
      </c>
      <c r="I110" s="120"/>
      <c r="J110" s="21">
        <f>RATE(5,,-C110,H110)</f>
        <v>0.17153804122269994</v>
      </c>
      <c r="K110" s="62" t="str">
        <f>A110</f>
        <v>Common Stock Dividends</v>
      </c>
      <c r="L110" s="21" t="e">
        <f>#REF!/#REF!</f>
        <v>#REF!</v>
      </c>
      <c r="M110" s="21" t="e">
        <f>#REF!/#REF!</f>
        <v>#REF!</v>
      </c>
      <c r="N110" s="21" t="e">
        <f>#REF!/#REF!</f>
        <v>#REF!</v>
      </c>
      <c r="O110" s="21" t="e">
        <f>#REF!/#REF!</f>
        <v>#REF!</v>
      </c>
      <c r="P110" s="21" t="e">
        <f>#REF!/#REF!</f>
        <v>#REF!</v>
      </c>
      <c r="Q110" s="21" t="e">
        <f>#REF!/#REF!</f>
        <v>#REF!</v>
      </c>
      <c r="R110" s="21" t="e">
        <f>#REF!/#REF!</f>
        <v>#REF!</v>
      </c>
      <c r="S110" s="21" t="e">
        <f>#REF!/#REF!</f>
        <v>#REF!</v>
      </c>
      <c r="T110" s="21" t="e">
        <f>#REF!/#REF!</f>
        <v>#REF!</v>
      </c>
      <c r="U110" s="21" t="e">
        <f>#REF!/#REF!</f>
        <v>#REF!</v>
      </c>
      <c r="V110" s="21">
        <f t="shared" ref="V110:AB110" si="167">B110/B$107</f>
        <v>0.47938144329896937</v>
      </c>
      <c r="W110" s="21">
        <f t="shared" si="167"/>
        <v>0.43026706231454004</v>
      </c>
      <c r="X110" s="21">
        <f t="shared" si="167"/>
        <v>0.4550810014727541</v>
      </c>
      <c r="Y110" s="21">
        <f t="shared" si="167"/>
        <v>0.97372488408037117</v>
      </c>
      <c r="Z110" s="21">
        <f t="shared" si="167"/>
        <v>7.8048780487805152</v>
      </c>
      <c r="AA110" s="21">
        <f t="shared" si="167"/>
        <v>1.0561056105610562</v>
      </c>
      <c r="AB110" s="21">
        <f t="shared" si="167"/>
        <v>1.0738255033557049</v>
      </c>
      <c r="AC110" s="21" t="e">
        <f t="shared" ref="AC110" si="168">I110/I$107</f>
        <v>#DIV/0!</v>
      </c>
      <c r="AD110" s="43">
        <f>SUM(B110:F110)/SUM(B$107:F$107)</f>
        <v>0.80630630630630662</v>
      </c>
      <c r="AE110" s="2"/>
    </row>
    <row r="111" spans="1:33" ht="15" x14ac:dyDescent="0.2">
      <c r="A111" s="37"/>
      <c r="B111" s="176"/>
      <c r="C111" s="176"/>
      <c r="D111" s="176"/>
      <c r="E111" s="176"/>
      <c r="F111" s="176"/>
      <c r="G111" s="176"/>
      <c r="H111" s="176"/>
      <c r="I111" s="57"/>
      <c r="J111" s="21"/>
      <c r="AE111" s="2"/>
    </row>
    <row r="112" spans="1:33" ht="15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21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53" t="str">
        <f>+J71</f>
        <v>DPU Exhibit 1.4 DIR</v>
      </c>
      <c r="AD113" s="53" t="str">
        <f>+J113</f>
        <v>DPU Exhibit 1.4 DIR</v>
      </c>
    </row>
    <row r="114" spans="1:30" ht="20.25" x14ac:dyDescent="0.3">
      <c r="A114" s="189" t="str">
        <f>A3</f>
        <v>Questar Pipeline Company</v>
      </c>
      <c r="B114" s="189"/>
      <c r="C114" s="189"/>
      <c r="D114" s="189"/>
      <c r="E114" s="189"/>
      <c r="F114" s="189"/>
      <c r="G114" s="189"/>
      <c r="H114" s="189"/>
      <c r="I114" s="189"/>
      <c r="J114" s="91" t="s">
        <v>117</v>
      </c>
      <c r="K114" s="189" t="str">
        <f>+A114</f>
        <v>Questar Pipeline Company</v>
      </c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26" t="s">
        <v>115</v>
      </c>
    </row>
    <row r="115" spans="1:30" ht="20.25" x14ac:dyDescent="0.3">
      <c r="A115" s="190" t="s">
        <v>48</v>
      </c>
      <c r="B115" s="190"/>
      <c r="C115" s="190"/>
      <c r="D115" s="190"/>
      <c r="E115" s="190"/>
      <c r="F115" s="190"/>
      <c r="G115" s="190"/>
      <c r="H115" s="190"/>
      <c r="I115" s="190"/>
      <c r="J115" s="3"/>
      <c r="K115" s="192" t="s">
        <v>158</v>
      </c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24"/>
    </row>
    <row r="116" spans="1:30" ht="15.75" x14ac:dyDescent="0.25">
      <c r="A116" s="191" t="str">
        <f>A5</f>
        <v>Years Ended December 31</v>
      </c>
      <c r="B116" s="191"/>
      <c r="C116" s="191"/>
      <c r="D116" s="191"/>
      <c r="E116" s="191"/>
      <c r="F116" s="191"/>
      <c r="G116" s="191"/>
      <c r="H116" s="191"/>
      <c r="I116" s="191"/>
      <c r="J116" s="48"/>
      <c r="K116" s="192" t="str">
        <f>+A116</f>
        <v>Years Ended December 31</v>
      </c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25"/>
    </row>
    <row r="117" spans="1:30" ht="15.75" x14ac:dyDescent="0.25">
      <c r="A117" s="49"/>
      <c r="B117" s="52"/>
      <c r="C117" s="52"/>
      <c r="D117" s="52"/>
      <c r="E117" s="52"/>
      <c r="F117" s="121"/>
      <c r="G117" s="121"/>
      <c r="H117" s="121"/>
      <c r="I117" s="121" t="str">
        <f>+I78</f>
        <v>1st Quarter</v>
      </c>
      <c r="J117" s="101" t="s">
        <v>194</v>
      </c>
      <c r="Q117" s="95"/>
      <c r="R117" s="95"/>
      <c r="S117" s="95"/>
      <c r="T117" s="95"/>
      <c r="U117" s="95"/>
      <c r="V117" s="95"/>
      <c r="W117" s="95"/>
      <c r="X117" s="95"/>
      <c r="Y117" s="77"/>
      <c r="Z117" s="121"/>
      <c r="AA117" s="127"/>
      <c r="AB117" s="127"/>
      <c r="AC117" s="127" t="str">
        <f>+AC78</f>
        <v>1st Quarter</v>
      </c>
      <c r="AD117" s="95"/>
    </row>
    <row r="118" spans="1:30" ht="15.75" x14ac:dyDescent="0.25">
      <c r="A118" s="56" t="s">
        <v>28</v>
      </c>
      <c r="B118" s="55">
        <f t="shared" ref="B118:G118" si="169">+B79</f>
        <v>2009</v>
      </c>
      <c r="C118" s="55">
        <f t="shared" si="169"/>
        <v>2010</v>
      </c>
      <c r="D118" s="55">
        <f t="shared" si="169"/>
        <v>2011</v>
      </c>
      <c r="E118" s="55">
        <f t="shared" si="169"/>
        <v>2012</v>
      </c>
      <c r="F118" s="55">
        <f t="shared" si="169"/>
        <v>2013</v>
      </c>
      <c r="G118" s="55">
        <f t="shared" si="169"/>
        <v>2014</v>
      </c>
      <c r="H118" s="55">
        <f t="shared" ref="H118" si="170">+H79</f>
        <v>2015</v>
      </c>
      <c r="I118" s="55">
        <f>+I79</f>
        <v>2016</v>
      </c>
      <c r="J118" s="100" t="s">
        <v>2</v>
      </c>
      <c r="K118" s="188" t="str">
        <f>+A77</f>
        <v>(Millions of dollars)</v>
      </c>
      <c r="Q118" s="96" t="e">
        <f>+#REF!</f>
        <v>#REF!</v>
      </c>
      <c r="R118" s="96" t="e">
        <f>+#REF!</f>
        <v>#REF!</v>
      </c>
      <c r="S118" s="96" t="e">
        <f>+#REF!</f>
        <v>#REF!</v>
      </c>
      <c r="T118" s="96" t="e">
        <f>+#REF!</f>
        <v>#REF!</v>
      </c>
      <c r="U118" s="96" t="e">
        <f>+#REF!</f>
        <v>#REF!</v>
      </c>
      <c r="V118" s="96">
        <f t="shared" ref="V118:AB118" si="171">+B118</f>
        <v>2009</v>
      </c>
      <c r="W118" s="96">
        <f t="shared" si="171"/>
        <v>2010</v>
      </c>
      <c r="X118" s="96">
        <f t="shared" si="171"/>
        <v>2011</v>
      </c>
      <c r="Y118" s="96">
        <f t="shared" si="171"/>
        <v>2012</v>
      </c>
      <c r="Z118" s="96">
        <f t="shared" si="171"/>
        <v>2013</v>
      </c>
      <c r="AA118" s="96">
        <f t="shared" si="171"/>
        <v>2014</v>
      </c>
      <c r="AB118" s="96">
        <f t="shared" si="171"/>
        <v>2015</v>
      </c>
      <c r="AC118" s="96">
        <f t="shared" ref="AC118" si="172">+I118</f>
        <v>2016</v>
      </c>
      <c r="AD118" s="96" t="str">
        <f t="shared" ref="AD118" si="173">+J118</f>
        <v>Average</v>
      </c>
    </row>
    <row r="119" spans="1:30" ht="12" customHeight="1" x14ac:dyDescent="0.2">
      <c r="A119" s="38"/>
      <c r="B119" s="39"/>
      <c r="C119" s="39"/>
      <c r="D119" s="39"/>
      <c r="E119" s="39"/>
      <c r="F119" s="39"/>
      <c r="G119" s="39"/>
      <c r="H119" s="39"/>
      <c r="I119" s="39"/>
      <c r="J119" s="4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ht="15.75" x14ac:dyDescent="0.25">
      <c r="A120" s="61" t="s">
        <v>36</v>
      </c>
      <c r="B120" s="60"/>
      <c r="C120" s="60"/>
      <c r="D120" s="60"/>
      <c r="E120" s="60"/>
      <c r="F120" s="60"/>
      <c r="G120" s="60"/>
      <c r="H120" s="60"/>
      <c r="I120" s="60"/>
      <c r="J120" s="21"/>
      <c r="K120" s="86" t="s">
        <v>172</v>
      </c>
      <c r="L120" s="37"/>
      <c r="M120" s="37"/>
      <c r="N120" s="37"/>
      <c r="O120" s="37"/>
      <c r="P120" s="3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</row>
    <row r="121" spans="1:30" ht="15" x14ac:dyDescent="0.2">
      <c r="A121" s="37" t="s">
        <v>6</v>
      </c>
      <c r="B121" s="60">
        <f t="shared" ref="B121:I121" si="174">B21/B52</f>
        <v>2.4315789473684215</v>
      </c>
      <c r="C121" s="60">
        <f t="shared" si="174"/>
        <v>0.37168910117238391</v>
      </c>
      <c r="D121" s="60">
        <f t="shared" si="174"/>
        <v>1.8307291666666663</v>
      </c>
      <c r="E121" s="60">
        <f t="shared" si="174"/>
        <v>2.5986394557823131</v>
      </c>
      <c r="F121" s="60">
        <f t="shared" si="174"/>
        <v>2.8184210526315785</v>
      </c>
      <c r="G121" s="60">
        <f t="shared" si="174"/>
        <v>1.7611510791366907</v>
      </c>
      <c r="H121" s="60">
        <f t="shared" si="174"/>
        <v>3.1516034985422743</v>
      </c>
      <c r="I121" s="60" t="e">
        <f t="shared" si="174"/>
        <v>#DIV/0!</v>
      </c>
      <c r="J121" s="60">
        <f>AVERAGE(D121:H121)</f>
        <v>2.4321088505519044</v>
      </c>
      <c r="K121" s="37" t="s">
        <v>159</v>
      </c>
      <c r="L121" s="37"/>
      <c r="M121" s="37"/>
      <c r="N121" s="37"/>
      <c r="O121" s="37"/>
      <c r="P121" s="37"/>
      <c r="Q121" s="87">
        <v>105.5</v>
      </c>
      <c r="R121" s="87">
        <v>108.2</v>
      </c>
      <c r="S121" s="75">
        <v>119900</v>
      </c>
      <c r="T121" s="75">
        <v>127400</v>
      </c>
      <c r="U121" s="75">
        <v>172400</v>
      </c>
      <c r="V121" s="75">
        <v>173200</v>
      </c>
      <c r="W121" s="167">
        <v>188.7</v>
      </c>
      <c r="X121" s="167">
        <v>195.2</v>
      </c>
      <c r="Y121" s="167">
        <v>194.5</v>
      </c>
      <c r="Z121" s="167">
        <v>194.6</v>
      </c>
      <c r="AA121" s="167">
        <v>195.6</v>
      </c>
      <c r="AB121" s="167">
        <v>194.6</v>
      </c>
      <c r="AC121" s="167"/>
      <c r="AD121" s="167">
        <f>AVERAGE(W121:AA121)</f>
        <v>193.72</v>
      </c>
    </row>
    <row r="122" spans="1:30" ht="15" x14ac:dyDescent="0.2">
      <c r="A122" s="37" t="s">
        <v>27</v>
      </c>
      <c r="B122" s="60">
        <f t="shared" ref="B122:I122" si="175">(B12+B13)/B52</f>
        <v>0.55000000000000004</v>
      </c>
      <c r="C122" s="60">
        <f t="shared" si="175"/>
        <v>0.1059487624837169</v>
      </c>
      <c r="D122" s="60">
        <f t="shared" si="175"/>
        <v>0.58593749999999989</v>
      </c>
      <c r="E122" s="60">
        <f t="shared" si="175"/>
        <v>0.59410430839002271</v>
      </c>
      <c r="F122" s="60">
        <f t="shared" si="175"/>
        <v>0.55789473684210522</v>
      </c>
      <c r="G122" s="60">
        <f t="shared" si="175"/>
        <v>0.35395683453237414</v>
      </c>
      <c r="H122" s="60">
        <f t="shared" si="175"/>
        <v>0.91545189504373181</v>
      </c>
      <c r="I122" s="60" t="e">
        <f t="shared" si="175"/>
        <v>#DIV/0!</v>
      </c>
      <c r="J122" s="60">
        <f t="shared" ref="J122:J123" si="176">AVERAGE(D122:H122)</f>
        <v>0.60146905496164682</v>
      </c>
      <c r="K122" s="37" t="s">
        <v>160</v>
      </c>
      <c r="L122" s="37"/>
      <c r="M122" s="37"/>
      <c r="N122" s="37"/>
      <c r="O122" s="37"/>
      <c r="P122" s="37"/>
      <c r="Q122" s="87">
        <v>37.700000000000003</v>
      </c>
      <c r="R122" s="87">
        <v>37.4</v>
      </c>
      <c r="S122" s="75">
        <v>37600</v>
      </c>
      <c r="T122" s="75">
        <v>37600</v>
      </c>
      <c r="U122" s="75">
        <v>37600</v>
      </c>
      <c r="V122" s="75">
        <v>37600</v>
      </c>
      <c r="W122" s="167">
        <v>37.6</v>
      </c>
      <c r="X122" s="167">
        <v>38.299999999999997</v>
      </c>
      <c r="Y122" s="167">
        <v>38.299999999999997</v>
      </c>
      <c r="Z122" s="167">
        <v>37.299999999999997</v>
      </c>
      <c r="AA122" s="167">
        <v>37.5</v>
      </c>
      <c r="AB122" s="167">
        <v>37.4</v>
      </c>
      <c r="AC122" s="167"/>
      <c r="AD122" s="167">
        <f t="shared" ref="AD122:AD127" si="177">AVERAGE(W122:AA122)</f>
        <v>37.799999999999997</v>
      </c>
    </row>
    <row r="123" spans="1:30" ht="15" x14ac:dyDescent="0.2">
      <c r="A123" s="37" t="s">
        <v>9</v>
      </c>
      <c r="B123" s="60" t="e">
        <f>365*(((#REF!+B13)/2)/((#REF!+B85)/2))</f>
        <v>#REF!</v>
      </c>
      <c r="C123" s="60">
        <f t="shared" ref="C123:F123" si="178">365*(((B13+C13)/2)/((B85+C85)/2))</f>
        <v>25.576848625629118</v>
      </c>
      <c r="D123" s="60">
        <f t="shared" si="178"/>
        <v>25.677716390423573</v>
      </c>
      <c r="E123" s="60">
        <f t="shared" si="178"/>
        <v>25.383215000910255</v>
      </c>
      <c r="F123" s="60">
        <f t="shared" si="178"/>
        <v>25.241861320581201</v>
      </c>
      <c r="G123" s="60">
        <f>365*(((E13+G13)/2)/((E85+G85)/2))</f>
        <v>24.472663465090505</v>
      </c>
      <c r="H123" s="60">
        <f>365*(((F13+H13)/2)/((F85+H85)/2))</f>
        <v>27.381897203325771</v>
      </c>
      <c r="I123" s="60">
        <f>365*(((F13+I13)/2)/((F85+I85)/2))</f>
        <v>25.366265965439524</v>
      </c>
      <c r="J123" s="60">
        <f t="shared" si="176"/>
        <v>25.631470676066261</v>
      </c>
      <c r="K123" s="37" t="s">
        <v>161</v>
      </c>
      <c r="L123" s="37"/>
      <c r="M123" s="37"/>
      <c r="N123" s="37"/>
      <c r="O123" s="37"/>
      <c r="P123" s="37"/>
      <c r="Q123" s="87">
        <v>1.2</v>
      </c>
      <c r="R123" s="87">
        <v>9.1999999999999993</v>
      </c>
      <c r="S123" s="75">
        <v>11000</v>
      </c>
      <c r="T123" s="75">
        <v>8500</v>
      </c>
      <c r="U123" s="75">
        <v>14400</v>
      </c>
      <c r="V123" s="75">
        <v>11200</v>
      </c>
      <c r="W123" s="167">
        <v>23.9</v>
      </c>
      <c r="X123" s="167">
        <v>17.2</v>
      </c>
      <c r="Y123" s="167">
        <f>8.4+7.1</f>
        <v>15.5</v>
      </c>
      <c r="Z123" s="167">
        <f>7.7+1.9</f>
        <v>9.6</v>
      </c>
      <c r="AA123" s="167">
        <f>6.7+0.2</f>
        <v>6.9</v>
      </c>
      <c r="AB123" s="167">
        <v>2.5</v>
      </c>
      <c r="AC123" s="167"/>
      <c r="AD123" s="167">
        <f t="shared" si="177"/>
        <v>14.62</v>
      </c>
    </row>
    <row r="124" spans="1:30" ht="15" x14ac:dyDescent="0.2">
      <c r="A124" s="37"/>
      <c r="B124" s="60"/>
      <c r="C124" s="60"/>
      <c r="D124" s="60"/>
      <c r="E124" s="60"/>
      <c r="F124" s="60"/>
      <c r="G124" s="60"/>
      <c r="H124" s="60"/>
      <c r="I124" s="60"/>
      <c r="J124" s="60"/>
      <c r="K124" s="37" t="s">
        <v>162</v>
      </c>
      <c r="L124" s="37"/>
      <c r="M124" s="37"/>
      <c r="N124" s="37"/>
      <c r="O124" s="37"/>
      <c r="P124" s="37"/>
      <c r="Q124" s="87"/>
      <c r="R124" s="87">
        <v>18.3</v>
      </c>
      <c r="S124" s="75">
        <v>16000</v>
      </c>
      <c r="T124" s="75">
        <v>16000</v>
      </c>
      <c r="U124" s="75">
        <v>15300</v>
      </c>
      <c r="V124" s="75">
        <v>13700</v>
      </c>
      <c r="W124" s="167">
        <v>14</v>
      </c>
      <c r="X124" s="167">
        <v>16.2</v>
      </c>
      <c r="Y124" s="167">
        <v>15.3</v>
      </c>
      <c r="Z124" s="167">
        <v>12.7</v>
      </c>
      <c r="AA124" s="167">
        <v>12.7</v>
      </c>
      <c r="AB124" s="167">
        <v>12.7</v>
      </c>
      <c r="AC124" s="167"/>
      <c r="AD124" s="167">
        <f t="shared" si="177"/>
        <v>14.180000000000001</v>
      </c>
    </row>
    <row r="125" spans="1:30" ht="15.75" x14ac:dyDescent="0.25">
      <c r="A125" s="61" t="s">
        <v>16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37" t="s">
        <v>163</v>
      </c>
      <c r="L125" s="37"/>
      <c r="M125" s="37"/>
      <c r="N125" s="37"/>
      <c r="O125" s="37"/>
      <c r="P125" s="37"/>
      <c r="Q125" s="87">
        <v>7.3</v>
      </c>
      <c r="R125" s="87">
        <v>5.6</v>
      </c>
      <c r="S125" s="75">
        <v>6300</v>
      </c>
      <c r="T125" s="75">
        <v>8700</v>
      </c>
      <c r="U125" s="75">
        <v>4600</v>
      </c>
      <c r="V125" s="75">
        <v>1200</v>
      </c>
      <c r="W125" s="167">
        <v>3.3</v>
      </c>
      <c r="X125" s="167">
        <v>2.5</v>
      </c>
      <c r="Y125" s="167">
        <v>2.7</v>
      </c>
      <c r="Z125" s="167">
        <v>1.6</v>
      </c>
      <c r="AA125" s="167">
        <v>1.5</v>
      </c>
      <c r="AB125" s="167">
        <v>1.5</v>
      </c>
      <c r="AC125" s="167"/>
      <c r="AD125" s="167">
        <f t="shared" si="177"/>
        <v>2.3199999999999998</v>
      </c>
    </row>
    <row r="126" spans="1:30" ht="15" x14ac:dyDescent="0.2">
      <c r="A126" s="37" t="s">
        <v>20</v>
      </c>
      <c r="B126" s="60">
        <f t="shared" ref="B126:I126" si="179">B68/B59</f>
        <v>0.80848234077139058</v>
      </c>
      <c r="C126" s="60">
        <f t="shared" si="179"/>
        <v>0.83045570336824215</v>
      </c>
      <c r="D126" s="60">
        <f t="shared" si="179"/>
        <v>0.84386825508058871</v>
      </c>
      <c r="E126" s="60">
        <f t="shared" si="179"/>
        <v>0.79784011589622017</v>
      </c>
      <c r="F126" s="60">
        <f t="shared" si="179"/>
        <v>0.74695699215580214</v>
      </c>
      <c r="G126" s="60">
        <f t="shared" si="179"/>
        <v>0.72478632478632488</v>
      </c>
      <c r="H126" s="60">
        <f t="shared" si="179"/>
        <v>0.74785451573355133</v>
      </c>
      <c r="I126" s="60" t="e">
        <f t="shared" si="179"/>
        <v>#DIV/0!</v>
      </c>
      <c r="J126" s="60">
        <f t="shared" ref="J126:J129" si="180">AVERAGE(D126:H126)</f>
        <v>0.7722612407304974</v>
      </c>
      <c r="K126" s="37" t="s">
        <v>164</v>
      </c>
      <c r="L126" s="37"/>
      <c r="M126" s="37"/>
      <c r="N126" s="37"/>
      <c r="O126" s="37"/>
      <c r="P126" s="37"/>
      <c r="Q126" s="88">
        <v>4.8</v>
      </c>
      <c r="R126" s="88">
        <v>5.6</v>
      </c>
      <c r="S126" s="111">
        <v>6600</v>
      </c>
      <c r="T126" s="111">
        <v>7700</v>
      </c>
      <c r="U126" s="111">
        <v>4300</v>
      </c>
      <c r="V126" s="111">
        <v>8500</v>
      </c>
      <c r="W126" s="187">
        <v>3.7</v>
      </c>
      <c r="X126" s="187">
        <v>2.4</v>
      </c>
      <c r="Y126" s="187">
        <f>4.4+6.8</f>
        <v>11.2</v>
      </c>
      <c r="Z126" s="187">
        <f>3.8+6.6</f>
        <v>10.399999999999999</v>
      </c>
      <c r="AA126" s="187">
        <f>1.5+8.2</f>
        <v>9.6999999999999993</v>
      </c>
      <c r="AB126" s="187">
        <f>6.4+7.9</f>
        <v>14.3</v>
      </c>
      <c r="AC126" s="187"/>
      <c r="AD126" s="187">
        <f t="shared" si="177"/>
        <v>7.4799999999999986</v>
      </c>
    </row>
    <row r="127" spans="1:30" ht="15" x14ac:dyDescent="0.2">
      <c r="A127" s="37" t="s">
        <v>19</v>
      </c>
      <c r="B127" s="60">
        <f t="shared" ref="B127:I127" si="181">B68/B57</f>
        <v>0.85658368561139808</v>
      </c>
      <c r="C127" s="60">
        <f t="shared" si="181"/>
        <v>1.2319966407726222</v>
      </c>
      <c r="D127" s="60">
        <f t="shared" si="181"/>
        <v>0.89186787142645529</v>
      </c>
      <c r="E127" s="60">
        <f t="shared" si="181"/>
        <v>0.84703579418344521</v>
      </c>
      <c r="F127" s="60">
        <f t="shared" si="181"/>
        <v>0.78742514970059896</v>
      </c>
      <c r="G127" s="60">
        <f t="shared" si="181"/>
        <v>0.79768451519536909</v>
      </c>
      <c r="H127" s="60">
        <f t="shared" si="181"/>
        <v>0.78450985995998856</v>
      </c>
      <c r="I127" s="60" t="e">
        <f t="shared" si="181"/>
        <v>#DIV/0!</v>
      </c>
      <c r="J127" s="60">
        <f t="shared" si="180"/>
        <v>0.8217046380931714</v>
      </c>
      <c r="K127" s="37" t="s">
        <v>165</v>
      </c>
      <c r="L127" s="37"/>
      <c r="M127" s="37"/>
      <c r="N127" s="37"/>
      <c r="O127" s="37"/>
      <c r="P127" s="37"/>
      <c r="Q127" s="87">
        <f t="shared" ref="Q127:S127" si="182">SUM(Q121:Q126)</f>
        <v>156.5</v>
      </c>
      <c r="R127" s="87">
        <f t="shared" si="182"/>
        <v>184.29999999999998</v>
      </c>
      <c r="S127" s="75">
        <f t="shared" si="182"/>
        <v>197400</v>
      </c>
      <c r="T127" s="75">
        <f>SUM(T121:T126)</f>
        <v>205900</v>
      </c>
      <c r="U127" s="75">
        <f t="shared" ref="U127:W127" si="183">SUM(U121:U126)</f>
        <v>248600</v>
      </c>
      <c r="V127" s="75">
        <f t="shared" si="183"/>
        <v>245400</v>
      </c>
      <c r="W127" s="167">
        <f t="shared" si="183"/>
        <v>271.2</v>
      </c>
      <c r="X127" s="167">
        <f t="shared" ref="X127:Y127" si="184">SUM(X121:X126)</f>
        <v>271.79999999999995</v>
      </c>
      <c r="Y127" s="167">
        <f t="shared" si="184"/>
        <v>277.5</v>
      </c>
      <c r="Z127" s="167">
        <f t="shared" ref="Z127:AA127" si="185">SUM(Z121:Z126)</f>
        <v>266.19999999999993</v>
      </c>
      <c r="AA127" s="167">
        <f t="shared" si="185"/>
        <v>263.89999999999998</v>
      </c>
      <c r="AB127" s="167">
        <f t="shared" ref="AB127" si="186">SUM(AB121:AB126)</f>
        <v>263</v>
      </c>
      <c r="AC127" s="167">
        <f t="shared" ref="AC127" si="187">SUM(AC121:AC126)</f>
        <v>0</v>
      </c>
      <c r="AD127" s="167">
        <f t="shared" si="177"/>
        <v>270.12</v>
      </c>
    </row>
    <row r="128" spans="1:30" ht="15" x14ac:dyDescent="0.2">
      <c r="A128" s="37" t="s">
        <v>18</v>
      </c>
      <c r="B128" s="60">
        <f t="shared" ref="B128:I128" si="188">B68/B33</f>
        <v>0.50317299733284293</v>
      </c>
      <c r="C128" s="60">
        <f t="shared" si="188"/>
        <v>0.50321584769745309</v>
      </c>
      <c r="D128" s="60">
        <f t="shared" si="188"/>
        <v>0.5002076929467475</v>
      </c>
      <c r="E128" s="60">
        <f t="shared" si="188"/>
        <v>0.50033036009250076</v>
      </c>
      <c r="F128" s="60">
        <f t="shared" si="188"/>
        <v>0.48147502397349851</v>
      </c>
      <c r="G128" s="60">
        <f t="shared" si="188"/>
        <v>0.47772577569769453</v>
      </c>
      <c r="H128" s="60">
        <f t="shared" si="188"/>
        <v>0.48098826003154027</v>
      </c>
      <c r="I128" s="60" t="e">
        <f t="shared" si="188"/>
        <v>#DIV/0!</v>
      </c>
      <c r="J128" s="60">
        <f t="shared" si="180"/>
        <v>0.48814542254839627</v>
      </c>
      <c r="K128" s="37"/>
      <c r="L128" s="37"/>
      <c r="M128" s="37"/>
      <c r="N128" s="37"/>
      <c r="O128" s="37"/>
      <c r="P128" s="3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</row>
    <row r="129" spans="1:31" ht="15.75" x14ac:dyDescent="0.25">
      <c r="A129" s="37" t="s">
        <v>37</v>
      </c>
      <c r="B129" s="60">
        <f t="shared" ref="B129:F129" si="189">(B104+B98)/B98</f>
        <v>4.118644067796609</v>
      </c>
      <c r="C129" s="60">
        <f t="shared" si="189"/>
        <v>4.6875</v>
      </c>
      <c r="D129" s="60">
        <f t="shared" si="189"/>
        <v>5.3306122448979592</v>
      </c>
      <c r="E129" s="60">
        <f t="shared" si="189"/>
        <v>4.8783269961977176</v>
      </c>
      <c r="F129" s="60">
        <f t="shared" si="189"/>
        <v>1.5891472868217043</v>
      </c>
      <c r="G129" s="60">
        <f t="shared" ref="G129:I129" si="190">(G104+G98)/G98</f>
        <v>4.6858237547892712</v>
      </c>
      <c r="H129" s="60">
        <f t="shared" ref="H129" si="191">(H104+H98)/H98</f>
        <v>4.5769230769230766</v>
      </c>
      <c r="I129" s="60" t="e">
        <f t="shared" si="190"/>
        <v>#DIV/0!</v>
      </c>
      <c r="J129" s="60">
        <f t="shared" si="180"/>
        <v>4.2121666719259458</v>
      </c>
      <c r="K129" s="86" t="s">
        <v>173</v>
      </c>
      <c r="L129" s="37"/>
      <c r="M129" s="37"/>
      <c r="N129" s="37"/>
      <c r="O129" s="37"/>
      <c r="P129" s="3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</row>
    <row r="130" spans="1:31" ht="15" x14ac:dyDescent="0.2">
      <c r="A130" s="37"/>
      <c r="B130" s="60"/>
      <c r="C130" s="60"/>
      <c r="D130" s="60"/>
      <c r="E130" s="60"/>
      <c r="F130" s="60"/>
      <c r="G130" s="60"/>
      <c r="H130" s="60"/>
      <c r="I130" s="60"/>
      <c r="J130" s="60"/>
      <c r="K130" s="37" t="str">
        <f>+K121</f>
        <v xml:space="preserve">   Transportation</v>
      </c>
      <c r="Q130" s="89">
        <f>+Q121/Q$127</f>
        <v>0.67412140575079871</v>
      </c>
      <c r="R130" s="89">
        <f t="shared" ref="R130:V130" si="192">+R121/R$127</f>
        <v>0.58708627238198596</v>
      </c>
      <c r="S130" s="89">
        <f t="shared" si="192"/>
        <v>0.60739614994934144</v>
      </c>
      <c r="T130" s="89">
        <f t="shared" si="192"/>
        <v>0.61874696454589606</v>
      </c>
      <c r="U130" s="89">
        <f t="shared" si="192"/>
        <v>0.69348350764279965</v>
      </c>
      <c r="V130" s="89">
        <f t="shared" si="192"/>
        <v>0.70578647106764469</v>
      </c>
      <c r="W130" s="89">
        <f t="shared" ref="W130:Y130" si="193">+W121/W$127</f>
        <v>0.69579646017699115</v>
      </c>
      <c r="X130" s="89">
        <f t="shared" ref="X130" si="194">+X121/X$127</f>
        <v>0.7181751287711553</v>
      </c>
      <c r="Y130" s="89">
        <f t="shared" si="193"/>
        <v>0.70090090090090085</v>
      </c>
      <c r="Z130" s="89">
        <f t="shared" ref="Z130:AA130" si="195">+Z121/Z$127</f>
        <v>0.73102930127723531</v>
      </c>
      <c r="AA130" s="89">
        <f t="shared" si="195"/>
        <v>0.74118984463812054</v>
      </c>
      <c r="AB130" s="89">
        <f t="shared" ref="AB130" si="196">+AB121/AB$127</f>
        <v>0.73992395437262359</v>
      </c>
      <c r="AC130" s="89" t="e">
        <f t="shared" ref="AC130" si="197">+AC121/AC$127</f>
        <v>#DIV/0!</v>
      </c>
      <c r="AD130" s="90">
        <f>SUM(W121:AA121)/SUM(W$127:AA$127)</f>
        <v>0.71716274248482159</v>
      </c>
    </row>
    <row r="131" spans="1:31" ht="15.75" x14ac:dyDescent="0.25">
      <c r="A131" s="61" t="s">
        <v>69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37" t="str">
        <f t="shared" ref="K131:K135" si="198">+K122</f>
        <v xml:space="preserve">   Storage</v>
      </c>
      <c r="Q131" s="89">
        <f t="shared" ref="Q131:V136" si="199">+Q122/Q$127</f>
        <v>0.24089456869009587</v>
      </c>
      <c r="R131" s="89">
        <f t="shared" si="199"/>
        <v>0.20293000542593598</v>
      </c>
      <c r="S131" s="89">
        <f t="shared" si="199"/>
        <v>0.19047619047619047</v>
      </c>
      <c r="T131" s="89">
        <f t="shared" si="199"/>
        <v>0.18261291889266634</v>
      </c>
      <c r="U131" s="89">
        <f t="shared" si="199"/>
        <v>0.1512469831053902</v>
      </c>
      <c r="V131" s="89">
        <f t="shared" si="199"/>
        <v>0.15321923390383049</v>
      </c>
      <c r="W131" s="89">
        <f t="shared" ref="W131:Y131" si="200">+W122/W$127</f>
        <v>0.13864306784660768</v>
      </c>
      <c r="X131" s="89">
        <f t="shared" ref="X131" si="201">+X122/X$127</f>
        <v>0.14091243561442238</v>
      </c>
      <c r="Y131" s="89">
        <f t="shared" si="200"/>
        <v>0.138018018018018</v>
      </c>
      <c r="Z131" s="89">
        <f t="shared" ref="Z131:AA131" si="202">+Z122/Z$127</f>
        <v>0.14012021036814429</v>
      </c>
      <c r="AA131" s="89">
        <f t="shared" si="202"/>
        <v>0.14209928003031452</v>
      </c>
      <c r="AB131" s="89">
        <f t="shared" ref="AB131" si="203">+AB122/AB$127</f>
        <v>0.14220532319391635</v>
      </c>
      <c r="AC131" s="89" t="e">
        <f t="shared" ref="AC131" si="204">+AC122/AC$127</f>
        <v>#DIV/0!</v>
      </c>
      <c r="AD131" s="90">
        <f t="shared" ref="AD131:AD136" si="205">SUM(W122:AA122)/SUM(W$127:AA$127)</f>
        <v>0.13993780541981343</v>
      </c>
    </row>
    <row r="132" spans="1:31" ht="15" x14ac:dyDescent="0.2">
      <c r="A132" s="37" t="s">
        <v>130</v>
      </c>
      <c r="B132" s="21">
        <f t="shared" ref="B132" si="206">(+B85-B88-B89)/B85</f>
        <v>0.84637326813365932</v>
      </c>
      <c r="C132" s="21">
        <f t="shared" ref="C132:E132" si="207">(+C85-C88-C89)/C85</f>
        <v>0.83997050147492636</v>
      </c>
      <c r="D132" s="21">
        <f t="shared" ref="D132" si="208">(+D85-D88-D89)/D85</f>
        <v>0.817512877115526</v>
      </c>
      <c r="E132" s="21">
        <f t="shared" si="207"/>
        <v>0.79567567567567576</v>
      </c>
      <c r="F132" s="21">
        <f t="shared" ref="F132:G132" si="209">(+F85-F88-F89)/F85</f>
        <v>0.80165289256198347</v>
      </c>
      <c r="G132" s="21">
        <f t="shared" si="209"/>
        <v>0.81773399014778325</v>
      </c>
      <c r="H132" s="21">
        <f t="shared" ref="H132" si="210">(+H85-H88-H89)/H85</f>
        <v>0.81825095057034214</v>
      </c>
      <c r="I132" s="21" t="e">
        <f t="shared" ref="I132" si="211">(+I85-I88-I89)/I85</f>
        <v>#DIV/0!</v>
      </c>
      <c r="J132" s="22">
        <f>AVERAGE(D132:H132)</f>
        <v>0.81016527721426213</v>
      </c>
      <c r="K132" s="37" t="str">
        <f t="shared" si="198"/>
        <v xml:space="preserve">   NGL Sales</v>
      </c>
      <c r="Q132" s="89">
        <f t="shared" si="199"/>
        <v>7.6677316293929706E-3</v>
      </c>
      <c r="R132" s="89">
        <f t="shared" si="199"/>
        <v>4.9918610960390665E-2</v>
      </c>
      <c r="S132" s="89">
        <f t="shared" si="199"/>
        <v>5.5724417426545089E-2</v>
      </c>
      <c r="T132" s="89">
        <f t="shared" si="199"/>
        <v>4.1282175813501701E-2</v>
      </c>
      <c r="U132" s="89">
        <f t="shared" si="199"/>
        <v>5.7924376508447305E-2</v>
      </c>
      <c r="V132" s="89">
        <f t="shared" si="199"/>
        <v>4.5639771801140996E-2</v>
      </c>
      <c r="W132" s="89">
        <f t="shared" ref="W132:Y132" si="212">+W123/W$127</f>
        <v>8.8126843657817103E-2</v>
      </c>
      <c r="X132" s="89">
        <f t="shared" ref="X132" si="213">+X123/X$127</f>
        <v>6.3281824871228853E-2</v>
      </c>
      <c r="Y132" s="89">
        <f t="shared" si="212"/>
        <v>5.5855855855855854E-2</v>
      </c>
      <c r="Z132" s="89">
        <f t="shared" ref="Z132:AA132" si="214">+Z123/Z$127</f>
        <v>3.6063110443275738E-2</v>
      </c>
      <c r="AA132" s="89">
        <f t="shared" si="214"/>
        <v>2.6146267525577874E-2</v>
      </c>
      <c r="AB132" s="89">
        <f t="shared" ref="AB132" si="215">+AB123/AB$127</f>
        <v>9.5057034220532317E-3</v>
      </c>
      <c r="AC132" s="89" t="e">
        <f t="shared" ref="AC132" si="216">+AC123/AC$127</f>
        <v>#DIV/0!</v>
      </c>
      <c r="AD132" s="90">
        <f t="shared" si="205"/>
        <v>5.4124092995705614E-2</v>
      </c>
    </row>
    <row r="133" spans="1:31" ht="15" x14ac:dyDescent="0.2">
      <c r="A133" s="37" t="s">
        <v>131</v>
      </c>
      <c r="B133" s="21">
        <f t="shared" ref="B133" si="217">+B107/B85</f>
        <v>0.23716381418092897</v>
      </c>
      <c r="C133" s="21">
        <f t="shared" ref="C133:E133" si="218">+C107/C85</f>
        <v>0.24852507374631272</v>
      </c>
      <c r="D133" s="21">
        <f t="shared" ref="D133" si="219">+D107/D85</f>
        <v>0.24981604120676965</v>
      </c>
      <c r="E133" s="21">
        <f t="shared" si="218"/>
        <v>0.2331531531531531</v>
      </c>
      <c r="F133" s="21">
        <f t="shared" ref="F133:G133" si="220">+F107/F85</f>
        <v>3.080390683696458E-2</v>
      </c>
      <c r="G133" s="21">
        <f t="shared" si="220"/>
        <v>0.22963243652898824</v>
      </c>
      <c r="H133" s="21">
        <f t="shared" ref="H133" si="221">+H107/H85</f>
        <v>0.22661596958174901</v>
      </c>
      <c r="I133" s="21" t="e">
        <f t="shared" ref="I133" si="222">+I107/I85</f>
        <v>#DIV/0!</v>
      </c>
      <c r="J133" s="22">
        <f t="shared" ref="J133:J136" si="223">AVERAGE(D133:H133)</f>
        <v>0.19400430146152492</v>
      </c>
      <c r="K133" s="37" t="str">
        <f t="shared" si="198"/>
        <v xml:space="preserve">   Energy Services</v>
      </c>
      <c r="Q133" s="89"/>
      <c r="R133" s="89">
        <f t="shared" si="199"/>
        <v>9.92946283233858E-2</v>
      </c>
      <c r="S133" s="89">
        <f t="shared" si="199"/>
        <v>8.1053698074974673E-2</v>
      </c>
      <c r="T133" s="89">
        <f t="shared" si="199"/>
        <v>7.7707625060709079E-2</v>
      </c>
      <c r="U133" s="89">
        <f t="shared" si="199"/>
        <v>6.154465004022526E-2</v>
      </c>
      <c r="V133" s="89">
        <f t="shared" si="199"/>
        <v>5.5827220863895681E-2</v>
      </c>
      <c r="W133" s="89">
        <f t="shared" ref="W133:Y134" si="224">+W124/W$127</f>
        <v>5.1622418879056046E-2</v>
      </c>
      <c r="X133" s="89">
        <f t="shared" ref="X133" si="225">+X124/X$127</f>
        <v>5.9602649006622523E-2</v>
      </c>
      <c r="Y133" s="89">
        <f t="shared" si="224"/>
        <v>5.5135135135135141E-2</v>
      </c>
      <c r="Z133" s="89">
        <f t="shared" ref="Z133:AA133" si="226">+Z124/Z$127</f>
        <v>4.7708489857250194E-2</v>
      </c>
      <c r="AA133" s="89">
        <f t="shared" si="226"/>
        <v>4.812428950359985E-2</v>
      </c>
      <c r="AB133" s="89">
        <f t="shared" ref="AB133" si="227">+AB124/AB$127</f>
        <v>4.8288973384030418E-2</v>
      </c>
      <c r="AC133" s="89" t="e">
        <f t="shared" ref="AC133" si="228">+AC124/AC$127</f>
        <v>#DIV/0!</v>
      </c>
      <c r="AD133" s="90">
        <f t="shared" si="205"/>
        <v>5.2495187324152238E-2</v>
      </c>
    </row>
    <row r="134" spans="1:31" ht="15" x14ac:dyDescent="0.2">
      <c r="A134" s="137" t="s">
        <v>30</v>
      </c>
      <c r="B134" s="131" t="e">
        <f>(B107+(B98*(1-(B106/B104))))/((#REF!+B41)/2)</f>
        <v>#REF!</v>
      </c>
      <c r="C134" s="131">
        <f t="shared" ref="C134:H134" si="229">(C107+(C98*(1-(C106/C104))))/((B41+C41)/2)</f>
        <v>6.8074023598994851E-2</v>
      </c>
      <c r="D134" s="131">
        <f t="shared" si="229"/>
        <v>6.4069817051033012E-2</v>
      </c>
      <c r="E134" s="131">
        <f t="shared" si="229"/>
        <v>6.0717313373665205E-2</v>
      </c>
      <c r="F134" s="131">
        <f t="shared" si="229"/>
        <v>1.6650422352176696E-2</v>
      </c>
      <c r="G134" s="131">
        <f t="shared" si="229"/>
        <v>5.9185197926843451E-2</v>
      </c>
      <c r="H134" s="131">
        <f t="shared" si="229"/>
        <v>5.8780919987203507E-2</v>
      </c>
      <c r="I134" s="131" t="e">
        <f>(I107+(I98*(1-(I106/I104))))/((F41+I41)/2)*4/3</f>
        <v>#DIV/0!</v>
      </c>
      <c r="J134" s="105">
        <f t="shared" si="223"/>
        <v>5.1880734138184378E-2</v>
      </c>
      <c r="K134" s="137" t="str">
        <f t="shared" si="198"/>
        <v xml:space="preserve">   Gas Processing</v>
      </c>
      <c r="L134" s="9"/>
      <c r="M134" s="9"/>
      <c r="N134" s="9"/>
      <c r="O134" s="9"/>
      <c r="P134" s="9"/>
      <c r="Q134" s="152">
        <f t="shared" si="199"/>
        <v>4.6645367412140572E-2</v>
      </c>
      <c r="R134" s="152">
        <f t="shared" si="199"/>
        <v>3.0385241454150842E-2</v>
      </c>
      <c r="S134" s="152">
        <f t="shared" si="199"/>
        <v>3.1914893617021274E-2</v>
      </c>
      <c r="T134" s="152">
        <f t="shared" si="199"/>
        <v>4.2253521126760563E-2</v>
      </c>
      <c r="U134" s="152">
        <f t="shared" si="199"/>
        <v>1.8503620273531779E-2</v>
      </c>
      <c r="V134" s="152">
        <f t="shared" si="199"/>
        <v>4.8899755501222494E-3</v>
      </c>
      <c r="W134" s="152">
        <f t="shared" ref="W134" si="230">+W125/W$127</f>
        <v>1.2168141592920354E-2</v>
      </c>
      <c r="X134" s="152">
        <f t="shared" ref="X134" si="231">+X125/X$127</f>
        <v>9.1979396615158217E-3</v>
      </c>
      <c r="Y134" s="152">
        <f t="shared" si="224"/>
        <v>9.729729729729731E-3</v>
      </c>
      <c r="Z134" s="152">
        <f t="shared" ref="Z134:AA134" si="232">+Z125/Z$127</f>
        <v>6.0105184072126241E-3</v>
      </c>
      <c r="AA134" s="152">
        <f t="shared" si="232"/>
        <v>5.6839712012125808E-3</v>
      </c>
      <c r="AB134" s="152">
        <f t="shared" ref="AB134" si="233">+AB125/AB$127</f>
        <v>5.7034220532319393E-3</v>
      </c>
      <c r="AC134" s="152" t="e">
        <f t="shared" ref="AC134" si="234">+AC125/AC$127</f>
        <v>#DIV/0!</v>
      </c>
      <c r="AD134" s="153">
        <f t="shared" si="205"/>
        <v>8.5887753590996596E-3</v>
      </c>
      <c r="AE134" s="9"/>
    </row>
    <row r="135" spans="1:31" ht="15" x14ac:dyDescent="0.2">
      <c r="A135" s="137" t="s">
        <v>68</v>
      </c>
      <c r="B135" s="131" t="e">
        <f>(B107+(B98*(1-(B106/B104))))/((#REF!+B54+#REF!+B61+#REF!+B68)/2)</f>
        <v>#REF!</v>
      </c>
      <c r="C135" s="131">
        <f t="shared" ref="C135:H135" si="235">(C107+(C98*(1-(C106/C104))))/((B54+C54+B61+C61+B68+C68)/2)</f>
        <v>9.1341115247009524E-2</v>
      </c>
      <c r="D135" s="131">
        <f t="shared" si="235"/>
        <v>8.6664326361543517E-2</v>
      </c>
      <c r="E135" s="131">
        <f t="shared" si="235"/>
        <v>7.6566422975248988E-2</v>
      </c>
      <c r="F135" s="131">
        <f t="shared" si="235"/>
        <v>2.1309717281787682E-2</v>
      </c>
      <c r="G135" s="131">
        <f t="shared" si="235"/>
        <v>7.7191896339233623E-2</v>
      </c>
      <c r="H135" s="131">
        <f t="shared" si="235"/>
        <v>7.7522099711713172E-2</v>
      </c>
      <c r="I135" s="131" t="e">
        <f>(I107+(I98*(1-(I106/I104))))/((F54+I54+F61+I61+F68+I68)/2)*4/3</f>
        <v>#DIV/0!</v>
      </c>
      <c r="J135" s="105">
        <f t="shared" si="223"/>
        <v>6.7850892533905388E-2</v>
      </c>
      <c r="K135" s="137" t="str">
        <f t="shared" si="198"/>
        <v xml:space="preserve">   Other</v>
      </c>
      <c r="L135" s="9"/>
      <c r="M135" s="9"/>
      <c r="N135" s="9"/>
      <c r="O135" s="9"/>
      <c r="P135" s="9"/>
      <c r="Q135" s="154">
        <f t="shared" si="199"/>
        <v>3.0670926517571882E-2</v>
      </c>
      <c r="R135" s="154">
        <f t="shared" si="199"/>
        <v>3.0385241454150842E-2</v>
      </c>
      <c r="S135" s="154">
        <f t="shared" si="199"/>
        <v>3.3434650455927049E-2</v>
      </c>
      <c r="T135" s="154">
        <f t="shared" si="199"/>
        <v>3.7396794560466247E-2</v>
      </c>
      <c r="U135" s="154">
        <f t="shared" si="199"/>
        <v>1.7296862429605792E-2</v>
      </c>
      <c r="V135" s="154">
        <f t="shared" si="199"/>
        <v>3.4637326813365933E-2</v>
      </c>
      <c r="W135" s="154">
        <f t="shared" ref="W135:Y135" si="236">+W126/W$127</f>
        <v>1.3643067846607671E-2</v>
      </c>
      <c r="X135" s="154">
        <f t="shared" ref="X135" si="237">+X126/X$127</f>
        <v>8.8300220750551894E-3</v>
      </c>
      <c r="Y135" s="154">
        <f t="shared" si="236"/>
        <v>4.0360360360360358E-2</v>
      </c>
      <c r="Z135" s="154">
        <f t="shared" ref="Z135:AA135" si="238">+Z126/Z$127</f>
        <v>3.9068369646882047E-2</v>
      </c>
      <c r="AA135" s="154">
        <f t="shared" si="238"/>
        <v>3.6756347101174688E-2</v>
      </c>
      <c r="AB135" s="154">
        <f t="shared" ref="AB135" si="239">+AB126/AB$127</f>
        <v>5.4372623574144491E-2</v>
      </c>
      <c r="AC135" s="154" t="e">
        <f t="shared" ref="AC135" si="240">+AC126/AC$127</f>
        <v>#DIV/0!</v>
      </c>
      <c r="AD135" s="155">
        <f t="shared" si="205"/>
        <v>2.769139641640752E-2</v>
      </c>
      <c r="AE135" s="9"/>
    </row>
    <row r="136" spans="1:31" ht="15" x14ac:dyDescent="0.2">
      <c r="A136" s="137" t="s">
        <v>67</v>
      </c>
      <c r="B136" s="131" t="e">
        <f>(B107-B109)/((B68+#REF!)/2)</f>
        <v>#REF!</v>
      </c>
      <c r="C136" s="131">
        <f t="shared" ref="C136:H136" si="241">(C107-C109)/((C68+B68)/2)</f>
        <v>0.11888173560278684</v>
      </c>
      <c r="D136" s="131">
        <f t="shared" si="241"/>
        <v>0.11422323155858354</v>
      </c>
      <c r="E136" s="131">
        <f t="shared" si="241"/>
        <v>0.10712807351601951</v>
      </c>
      <c r="F136" s="131">
        <f t="shared" si="241"/>
        <v>1.4161125982212195E-2</v>
      </c>
      <c r="G136" s="131">
        <f t="shared" si="241"/>
        <v>0.10983235160851833</v>
      </c>
      <c r="H136" s="131">
        <f t="shared" si="241"/>
        <v>0.10834393746591527</v>
      </c>
      <c r="I136" s="131">
        <f>(I107-I109)/((I68+F68)/2)*4/3</f>
        <v>0</v>
      </c>
      <c r="J136" s="105">
        <f t="shared" si="223"/>
        <v>9.0737744026249761E-2</v>
      </c>
      <c r="K136" s="137" t="str">
        <f>+K127</f>
        <v>Total Revenue</v>
      </c>
      <c r="L136" s="9"/>
      <c r="M136" s="9"/>
      <c r="N136" s="9"/>
      <c r="O136" s="9"/>
      <c r="P136" s="9"/>
      <c r="Q136" s="152">
        <f t="shared" si="199"/>
        <v>1</v>
      </c>
      <c r="R136" s="152">
        <f t="shared" si="199"/>
        <v>1</v>
      </c>
      <c r="S136" s="152">
        <f t="shared" si="199"/>
        <v>1</v>
      </c>
      <c r="T136" s="152">
        <f t="shared" si="199"/>
        <v>1</v>
      </c>
      <c r="U136" s="152">
        <f t="shared" si="199"/>
        <v>1</v>
      </c>
      <c r="V136" s="152">
        <f t="shared" si="199"/>
        <v>1</v>
      </c>
      <c r="W136" s="152">
        <f t="shared" ref="W136:Y136" si="242">+W127/W$127</f>
        <v>1</v>
      </c>
      <c r="X136" s="152">
        <f t="shared" ref="X136" si="243">+X127/X$127</f>
        <v>1</v>
      </c>
      <c r="Y136" s="152">
        <f t="shared" si="242"/>
        <v>1</v>
      </c>
      <c r="Z136" s="152">
        <f t="shared" ref="Z136:AA136" si="244">+Z127/Z$127</f>
        <v>1</v>
      </c>
      <c r="AA136" s="152">
        <f t="shared" si="244"/>
        <v>1</v>
      </c>
      <c r="AB136" s="152">
        <f t="shared" ref="AB136" si="245">+AB127/AB$127</f>
        <v>1</v>
      </c>
      <c r="AC136" s="152" t="e">
        <f t="shared" ref="AC136" si="246">+AC127/AC$127</f>
        <v>#DIV/0!</v>
      </c>
      <c r="AD136" s="153">
        <f t="shared" si="205"/>
        <v>1</v>
      </c>
      <c r="AE136" s="9"/>
    </row>
    <row r="137" spans="1:31" ht="15" x14ac:dyDescent="0.2">
      <c r="A137" s="137" t="s">
        <v>195</v>
      </c>
      <c r="B137" s="131"/>
      <c r="C137" s="131"/>
      <c r="D137" s="131"/>
      <c r="E137" s="131"/>
      <c r="F137" s="131">
        <v>0.105</v>
      </c>
      <c r="G137" s="131"/>
      <c r="H137" s="131"/>
      <c r="I137" s="131"/>
      <c r="J137" s="105">
        <f>AVERAGE(D136,E136,F137,G136,H136)</f>
        <v>0.10890551882980733</v>
      </c>
      <c r="K137" s="137"/>
      <c r="L137" s="9"/>
      <c r="M137" s="9"/>
      <c r="N137" s="9"/>
      <c r="O137" s="9"/>
      <c r="P137" s="9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3"/>
      <c r="AE137" s="9"/>
    </row>
    <row r="138" spans="1:31" ht="15" x14ac:dyDescent="0.2">
      <c r="A138" s="137"/>
      <c r="B138" s="156"/>
      <c r="C138" s="156"/>
      <c r="D138" s="156"/>
      <c r="E138" s="156"/>
      <c r="F138" s="156"/>
      <c r="G138" s="156"/>
      <c r="H138" s="156"/>
      <c r="I138" s="156"/>
      <c r="J138" s="157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.75" x14ac:dyDescent="0.25">
      <c r="A139" s="158" t="s">
        <v>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5.75" x14ac:dyDescent="0.25">
      <c r="A140" s="137" t="s">
        <v>32</v>
      </c>
      <c r="B140" s="156" t="e">
        <f>B85/((#REF!+B12)/2)</f>
        <v>#REF!</v>
      </c>
      <c r="C140" s="156">
        <f t="shared" ref="C140:F140" si="247">C85/((B12+C12)/2)</f>
        <v>59.604395604395606</v>
      </c>
      <c r="D140" s="156">
        <f t="shared" si="247"/>
        <v>62.482758620689665</v>
      </c>
      <c r="E140" s="156">
        <f t="shared" si="247"/>
        <v>52.857142857142854</v>
      </c>
      <c r="F140" s="156">
        <f t="shared" si="247"/>
        <v>54.326530612244895</v>
      </c>
      <c r="G140" s="156">
        <f>G85/((E12+G12)/2)</f>
        <v>36.4</v>
      </c>
      <c r="H140" s="156">
        <f>H85/((F12+H12)/2)</f>
        <v>40.775193798449614</v>
      </c>
      <c r="I140" s="156">
        <f>I85/((F12+I12)/2)</f>
        <v>0</v>
      </c>
      <c r="J140" s="156">
        <f t="shared" ref="J140:J144" si="248">AVERAGE(D140:H140)</f>
        <v>49.368325177705408</v>
      </c>
      <c r="K140" s="159" t="s">
        <v>166</v>
      </c>
      <c r="L140" s="137"/>
      <c r="M140" s="137"/>
      <c r="N140" s="137"/>
      <c r="O140" s="137"/>
      <c r="P140" s="137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9"/>
    </row>
    <row r="141" spans="1:31" ht="15.75" x14ac:dyDescent="0.25">
      <c r="A141" s="137" t="s">
        <v>31</v>
      </c>
      <c r="B141" s="156" t="e">
        <f>B85/((#REF!+B13)/2)</f>
        <v>#REF!</v>
      </c>
      <c r="C141" s="156">
        <f t="shared" ref="C141:F141" si="249">C85/((B13+C13)/2)</f>
        <v>14.983425414364639</v>
      </c>
      <c r="D141" s="156">
        <f t="shared" si="249"/>
        <v>14.230366492146596</v>
      </c>
      <c r="E141" s="156">
        <f t="shared" si="249"/>
        <v>14.528795811518323</v>
      </c>
      <c r="F141" s="156">
        <f t="shared" si="249"/>
        <v>14.159574468085106</v>
      </c>
      <c r="G141" s="156">
        <f>G85/((E13+G13)/2)</f>
        <v>14.539944903581267</v>
      </c>
      <c r="H141" s="156">
        <f>H85/((F13+H13)/2)</f>
        <v>13.249370277078084</v>
      </c>
      <c r="I141" s="156">
        <f>I85/((F13+I13)/2)</f>
        <v>0</v>
      </c>
      <c r="J141" s="156">
        <f t="shared" si="248"/>
        <v>14.141610390481876</v>
      </c>
      <c r="K141" s="159" t="s">
        <v>167</v>
      </c>
      <c r="L141" s="137"/>
      <c r="M141" s="137"/>
      <c r="N141" s="137"/>
      <c r="O141" s="137"/>
      <c r="P141" s="137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9"/>
    </row>
    <row r="142" spans="1:31" ht="15" x14ac:dyDescent="0.2">
      <c r="A142" s="137" t="s">
        <v>35</v>
      </c>
      <c r="B142" s="156" t="e">
        <f>B85/((#REF!+B21-#REF!-B52)/2)</f>
        <v>#REF!</v>
      </c>
      <c r="C142" s="156">
        <f t="shared" ref="C142:F142" si="250">C85/((B21+C21-B52-C52)/2)</f>
        <v>-6.0066445182724282</v>
      </c>
      <c r="D142" s="156">
        <f t="shared" si="250"/>
        <v>-4.8191489361702136</v>
      </c>
      <c r="E142" s="156">
        <f t="shared" si="250"/>
        <v>5.419921875</v>
      </c>
      <c r="F142" s="156">
        <f t="shared" si="250"/>
        <v>3.8137535816618913</v>
      </c>
      <c r="G142" s="156">
        <f>G85/((E21+G21-E52-G52)/2)</f>
        <v>4.2771474878444078</v>
      </c>
      <c r="H142" s="156">
        <f>H85/((F21+H21-F52-H52)/2)</f>
        <v>3.6808957312806165</v>
      </c>
      <c r="I142" s="156">
        <f>I85/((F21+I21-F52-I52)/2)</f>
        <v>0</v>
      </c>
      <c r="J142" s="156">
        <f t="shared" si="248"/>
        <v>2.4745139479233407</v>
      </c>
      <c r="K142" s="137" t="s">
        <v>170</v>
      </c>
      <c r="L142" s="137"/>
      <c r="M142" s="137"/>
      <c r="N142" s="137"/>
      <c r="O142" s="137"/>
      <c r="P142" s="137"/>
      <c r="Q142" s="160">
        <v>220.5</v>
      </c>
      <c r="R142" s="136">
        <v>259300</v>
      </c>
      <c r="S142" s="136">
        <v>320400</v>
      </c>
      <c r="T142" s="136">
        <v>352300</v>
      </c>
      <c r="U142" s="136">
        <v>617300</v>
      </c>
      <c r="V142" s="136">
        <v>624100</v>
      </c>
      <c r="W142" s="136">
        <v>642400</v>
      </c>
      <c r="X142" s="136">
        <v>665800</v>
      </c>
      <c r="Y142" s="136">
        <v>785400</v>
      </c>
      <c r="Z142" s="136">
        <v>753400</v>
      </c>
      <c r="AA142" s="136">
        <v>721400</v>
      </c>
      <c r="AB142" s="136">
        <v>740800</v>
      </c>
      <c r="AC142" s="136"/>
      <c r="AD142" s="136">
        <f>AVERAGE(X142:AB142)</f>
        <v>733360</v>
      </c>
      <c r="AE142" s="9"/>
    </row>
    <row r="143" spans="1:31" ht="15" x14ac:dyDescent="0.2">
      <c r="A143" s="137" t="s">
        <v>33</v>
      </c>
      <c r="B143" s="156" t="e">
        <f>B85/((#REF!+B33)/2)</f>
        <v>#REF!</v>
      </c>
      <c r="C143" s="156">
        <f t="shared" ref="C143:F143" si="251">C85/((B33+C33)/2)</f>
        <v>0.24070293778290586</v>
      </c>
      <c r="D143" s="156">
        <f t="shared" si="251"/>
        <v>0.22938644611359607</v>
      </c>
      <c r="E143" s="156">
        <f t="shared" si="251"/>
        <v>0.22986125491820253</v>
      </c>
      <c r="F143" s="156">
        <f t="shared" si="251"/>
        <v>0.22579413885236863</v>
      </c>
      <c r="G143" s="156">
        <f>G85/((E33+G33)/2)</f>
        <v>0.22320899940793362</v>
      </c>
      <c r="H143" s="156">
        <f>H85/((F33+H33)/2)</f>
        <v>0.22984487655669653</v>
      </c>
      <c r="I143" s="156">
        <f>I85/((F33+I33)/2)</f>
        <v>0</v>
      </c>
      <c r="J143" s="156">
        <f t="shared" si="248"/>
        <v>0.22761914316975948</v>
      </c>
      <c r="K143" s="137" t="s">
        <v>168</v>
      </c>
      <c r="L143" s="137"/>
      <c r="M143" s="137"/>
      <c r="N143" s="137"/>
      <c r="O143" s="137"/>
      <c r="P143" s="137"/>
      <c r="Q143" s="160">
        <v>116.5</v>
      </c>
      <c r="R143" s="136">
        <v>116300</v>
      </c>
      <c r="S143" s="136">
        <v>116700</v>
      </c>
      <c r="T143" s="136">
        <v>113800</v>
      </c>
      <c r="U143" s="136">
        <v>120900</v>
      </c>
      <c r="V143" s="136">
        <v>112900</v>
      </c>
      <c r="W143" s="136">
        <v>112000</v>
      </c>
      <c r="X143" s="136">
        <v>116900</v>
      </c>
      <c r="Y143" s="136">
        <v>107200</v>
      </c>
      <c r="Z143" s="136">
        <v>119500</v>
      </c>
      <c r="AA143" s="136">
        <v>116200</v>
      </c>
      <c r="AB143" s="136">
        <v>107600</v>
      </c>
      <c r="AC143" s="136"/>
      <c r="AD143" s="136">
        <f>AVERAGE(X143:AB143)</f>
        <v>113480</v>
      </c>
      <c r="AE143" s="9"/>
    </row>
    <row r="144" spans="1:31" ht="15" x14ac:dyDescent="0.2">
      <c r="A144" s="137" t="s">
        <v>34</v>
      </c>
      <c r="B144" s="156" t="e">
        <f>B85/((#REF!+B41)/2)</f>
        <v>#REF!</v>
      </c>
      <c r="C144" s="156">
        <f t="shared" ref="C144:F144" si="252">C85/((B41+C41)/2)</f>
        <v>0.21547751469887177</v>
      </c>
      <c r="D144" s="156">
        <f t="shared" si="252"/>
        <v>0.20835569183595248</v>
      </c>
      <c r="E144" s="156">
        <f t="shared" si="252"/>
        <v>0.20703547580855747</v>
      </c>
      <c r="F144" s="156">
        <f t="shared" si="252"/>
        <v>0.200391448358928</v>
      </c>
      <c r="G144" s="156">
        <f>G85/((E41+G41)/2)</f>
        <v>0.1971757322175732</v>
      </c>
      <c r="H144" s="156">
        <f>H85/((F41+H41)/2)</f>
        <v>0.20428771166692564</v>
      </c>
      <c r="I144" s="156">
        <f>I85/((F41+I41)/2)</f>
        <v>0</v>
      </c>
      <c r="J144" s="156">
        <f t="shared" si="248"/>
        <v>0.20344921197758739</v>
      </c>
      <c r="K144" s="137" t="s">
        <v>169</v>
      </c>
      <c r="L144" s="137"/>
      <c r="M144" s="137"/>
      <c r="N144" s="137"/>
      <c r="O144" s="137"/>
      <c r="P144" s="137"/>
      <c r="Q144" s="161">
        <v>18.8</v>
      </c>
      <c r="R144" s="162">
        <v>25700</v>
      </c>
      <c r="S144" s="162">
        <v>26300</v>
      </c>
      <c r="T144" s="162">
        <v>16000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9"/>
    </row>
    <row r="145" spans="1:31" ht="15" x14ac:dyDescent="0.2">
      <c r="A145" s="137"/>
      <c r="B145" s="137"/>
      <c r="C145" s="137"/>
      <c r="D145" s="137"/>
      <c r="E145" s="137"/>
      <c r="F145" s="137"/>
      <c r="G145" s="137"/>
      <c r="H145" s="137"/>
      <c r="I145" s="137"/>
      <c r="J145" s="156"/>
      <c r="K145" s="137" t="s">
        <v>171</v>
      </c>
      <c r="L145" s="137"/>
      <c r="M145" s="137"/>
      <c r="N145" s="137"/>
      <c r="O145" s="137"/>
      <c r="P145" s="137"/>
      <c r="Q145" s="160">
        <f>SUM(Q142:Q144)</f>
        <v>355.8</v>
      </c>
      <c r="R145" s="136">
        <f t="shared" ref="R145:W145" si="253">SUM(R142:R144)</f>
        <v>401300</v>
      </c>
      <c r="S145" s="136">
        <f t="shared" si="253"/>
        <v>463400</v>
      </c>
      <c r="T145" s="136">
        <f t="shared" si="253"/>
        <v>482100</v>
      </c>
      <c r="U145" s="136">
        <f t="shared" si="253"/>
        <v>738200</v>
      </c>
      <c r="V145" s="136">
        <f t="shared" si="253"/>
        <v>737000</v>
      </c>
      <c r="W145" s="136">
        <f t="shared" si="253"/>
        <v>754400</v>
      </c>
      <c r="X145" s="136">
        <f t="shared" ref="X145:Y145" si="254">SUM(X142:X144)</f>
        <v>782700</v>
      </c>
      <c r="Y145" s="136">
        <f t="shared" si="254"/>
        <v>892600</v>
      </c>
      <c r="Z145" s="136">
        <f t="shared" ref="Z145:AA145" si="255">SUM(Z142:Z144)</f>
        <v>872900</v>
      </c>
      <c r="AA145" s="136">
        <f t="shared" si="255"/>
        <v>837600</v>
      </c>
      <c r="AB145" s="136">
        <f t="shared" ref="AB145" si="256">SUM(AB142:AB144)</f>
        <v>848400</v>
      </c>
      <c r="AC145" s="136">
        <f t="shared" ref="AC145" si="257">SUM(AC142:AC144)</f>
        <v>0</v>
      </c>
      <c r="AD145" s="136">
        <f>AVERAGE(X145:AB145)</f>
        <v>846840</v>
      </c>
      <c r="AE145" s="9"/>
    </row>
    <row r="146" spans="1:31" ht="15.75" x14ac:dyDescent="0.25">
      <c r="A146" s="158" t="s">
        <v>70</v>
      </c>
      <c r="B146" s="137"/>
      <c r="C146" s="137"/>
      <c r="D146" s="137"/>
      <c r="E146" s="137"/>
      <c r="F146" s="137"/>
      <c r="G146" s="137"/>
      <c r="H146" s="137"/>
      <c r="I146" s="137"/>
      <c r="J146" s="156"/>
      <c r="K146" s="137"/>
      <c r="L146" s="137"/>
      <c r="M146" s="137"/>
      <c r="N146" s="137"/>
      <c r="O146" s="137"/>
      <c r="P146" s="137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9"/>
    </row>
    <row r="147" spans="1:31" ht="15.75" x14ac:dyDescent="0.25">
      <c r="A147" s="137" t="s">
        <v>123</v>
      </c>
      <c r="B147" s="163" t="s">
        <v>124</v>
      </c>
      <c r="C147" s="163" t="s">
        <v>176</v>
      </c>
      <c r="D147" s="163" t="s">
        <v>176</v>
      </c>
      <c r="E147" s="163" t="s">
        <v>176</v>
      </c>
      <c r="F147" s="163" t="s">
        <v>176</v>
      </c>
      <c r="G147" s="163" t="s">
        <v>176</v>
      </c>
      <c r="H147" s="163" t="s">
        <v>176</v>
      </c>
      <c r="I147" s="163" t="s">
        <v>176</v>
      </c>
      <c r="J147" s="156"/>
      <c r="K147" s="159" t="s">
        <v>174</v>
      </c>
      <c r="L147" s="137"/>
      <c r="M147" s="137"/>
      <c r="N147" s="137"/>
      <c r="O147" s="137"/>
      <c r="P147" s="137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9"/>
    </row>
    <row r="148" spans="1:31" ht="15" x14ac:dyDescent="0.2">
      <c r="A148" s="137" t="s">
        <v>122</v>
      </c>
      <c r="B148" s="163"/>
      <c r="C148" s="163" t="s">
        <v>121</v>
      </c>
      <c r="D148" s="163" t="s">
        <v>121</v>
      </c>
      <c r="E148" s="163" t="s">
        <v>121</v>
      </c>
      <c r="F148" s="163" t="s">
        <v>121</v>
      </c>
      <c r="G148" s="163" t="s">
        <v>121</v>
      </c>
      <c r="H148" s="163" t="s">
        <v>121</v>
      </c>
      <c r="I148" s="163" t="s">
        <v>121</v>
      </c>
      <c r="J148" s="156"/>
      <c r="K148" s="137" t="str">
        <f>+K142</f>
        <v xml:space="preserve">   For Unaffiliated Customers</v>
      </c>
      <c r="L148" s="137"/>
      <c r="M148" s="137"/>
      <c r="N148" s="137"/>
      <c r="O148" s="137"/>
      <c r="P148" s="137"/>
      <c r="Q148" s="152">
        <f t="shared" ref="Q148:AA148" si="258">+Q142/Q$145</f>
        <v>0.6197301854974705</v>
      </c>
      <c r="R148" s="152">
        <f t="shared" si="258"/>
        <v>0.64615001245950665</v>
      </c>
      <c r="S148" s="152">
        <f t="shared" si="258"/>
        <v>0.69141130772550707</v>
      </c>
      <c r="T148" s="152">
        <f t="shared" si="258"/>
        <v>0.73076125285210536</v>
      </c>
      <c r="U148" s="152">
        <f t="shared" si="258"/>
        <v>0.83622324573286377</v>
      </c>
      <c r="V148" s="152">
        <f t="shared" si="258"/>
        <v>0.84681139755766621</v>
      </c>
      <c r="W148" s="152">
        <f t="shared" si="258"/>
        <v>0.8515376458112407</v>
      </c>
      <c r="X148" s="152">
        <f t="shared" si="258"/>
        <v>0.85064520250415232</v>
      </c>
      <c r="Y148" s="152">
        <f t="shared" si="258"/>
        <v>0.87990141160654267</v>
      </c>
      <c r="Z148" s="152">
        <f t="shared" si="258"/>
        <v>0.86310001145606596</v>
      </c>
      <c r="AA148" s="152">
        <f t="shared" si="258"/>
        <v>0.8612702960840497</v>
      </c>
      <c r="AB148" s="152">
        <f t="shared" ref="AB148" si="259">+AB142/AB$145</f>
        <v>0.87317303158887316</v>
      </c>
      <c r="AC148" s="152" t="e">
        <f t="shared" ref="AC148" si="260">+AC142/AC$145</f>
        <v>#DIV/0!</v>
      </c>
      <c r="AD148" s="153">
        <f t="shared" ref="AD148:AD149" si="261">AVERAGE(X148:AB148)</f>
        <v>0.86561799064793676</v>
      </c>
      <c r="AE148" s="9"/>
    </row>
    <row r="149" spans="1:31" ht="15" x14ac:dyDescent="0.2">
      <c r="A149" s="137" t="s">
        <v>119</v>
      </c>
      <c r="B149" s="163" t="s">
        <v>177</v>
      </c>
      <c r="C149" s="163" t="s">
        <v>120</v>
      </c>
      <c r="D149" s="163" t="s">
        <v>120</v>
      </c>
      <c r="E149" s="163" t="s">
        <v>120</v>
      </c>
      <c r="F149" s="163" t="s">
        <v>120</v>
      </c>
      <c r="G149" s="163" t="s">
        <v>120</v>
      </c>
      <c r="H149" s="163" t="s">
        <v>120</v>
      </c>
      <c r="I149" s="163" t="s">
        <v>120</v>
      </c>
      <c r="J149" s="156"/>
      <c r="K149" s="137" t="str">
        <f>+K143</f>
        <v xml:space="preserve">   For Questar Gas</v>
      </c>
      <c r="L149" s="137"/>
      <c r="M149" s="137"/>
      <c r="N149" s="137"/>
      <c r="O149" s="137"/>
      <c r="P149" s="137"/>
      <c r="Q149" s="152">
        <f t="shared" ref="Q149:AA149" si="262">+Q143/Q$145</f>
        <v>0.32743114109050026</v>
      </c>
      <c r="R149" s="152">
        <f t="shared" si="262"/>
        <v>0.28980812359830549</v>
      </c>
      <c r="S149" s="152">
        <f t="shared" si="262"/>
        <v>0.25183426845058265</v>
      </c>
      <c r="T149" s="152">
        <f t="shared" si="262"/>
        <v>0.23605061190624352</v>
      </c>
      <c r="U149" s="152">
        <f t="shared" si="262"/>
        <v>0.16377675426713628</v>
      </c>
      <c r="V149" s="152">
        <f t="shared" si="262"/>
        <v>0.15318860244233379</v>
      </c>
      <c r="W149" s="152">
        <f t="shared" si="262"/>
        <v>0.14846235418875928</v>
      </c>
      <c r="X149" s="152">
        <f t="shared" si="262"/>
        <v>0.14935479749584771</v>
      </c>
      <c r="Y149" s="152">
        <f t="shared" si="262"/>
        <v>0.12009858839345731</v>
      </c>
      <c r="Z149" s="152">
        <f t="shared" si="262"/>
        <v>0.13689998854393401</v>
      </c>
      <c r="AA149" s="152">
        <f t="shared" si="262"/>
        <v>0.13872970391595033</v>
      </c>
      <c r="AB149" s="152">
        <f t="shared" ref="AB149" si="263">+AB143/AB$145</f>
        <v>0.12682696841112684</v>
      </c>
      <c r="AC149" s="152" t="e">
        <f t="shared" ref="AC149" si="264">+AC143/AC$145</f>
        <v>#DIV/0!</v>
      </c>
      <c r="AD149" s="153">
        <f t="shared" si="261"/>
        <v>0.13438200935206324</v>
      </c>
      <c r="AE149" s="9"/>
    </row>
    <row r="150" spans="1:31" ht="15" x14ac:dyDescent="0.2">
      <c r="A150" s="137" t="s">
        <v>128</v>
      </c>
      <c r="B150" s="156">
        <f t="shared" ref="B150:F150" si="265">(+B104+B98)/B98</f>
        <v>4.118644067796609</v>
      </c>
      <c r="C150" s="156">
        <f t="shared" si="265"/>
        <v>4.6875</v>
      </c>
      <c r="D150" s="156">
        <f t="shared" si="265"/>
        <v>5.3306122448979592</v>
      </c>
      <c r="E150" s="156">
        <f t="shared" si="265"/>
        <v>4.8783269961977176</v>
      </c>
      <c r="F150" s="156">
        <f t="shared" si="265"/>
        <v>1.5891472868217043</v>
      </c>
      <c r="G150" s="156">
        <f t="shared" ref="G150:I150" si="266">(+G104+G98)/G98</f>
        <v>4.6858237547892712</v>
      </c>
      <c r="H150" s="156">
        <f t="shared" ref="H150" si="267">(+H104+H98)/H98</f>
        <v>4.5769230769230766</v>
      </c>
      <c r="I150" s="156" t="e">
        <f t="shared" si="266"/>
        <v>#DIV/0!</v>
      </c>
      <c r="J150" s="156">
        <f>AVERAGE(D150:H150)</f>
        <v>4.2121666719259458</v>
      </c>
      <c r="K150" s="137" t="str">
        <f>+K144</f>
        <v xml:space="preserve">   For Other Affiliated Customers</v>
      </c>
      <c r="L150" s="137"/>
      <c r="M150" s="137"/>
      <c r="N150" s="137"/>
      <c r="O150" s="137"/>
      <c r="P150" s="137"/>
      <c r="Q150" s="154">
        <f t="shared" ref="Q150:T151" si="268">+Q144/Q$145</f>
        <v>5.2838673412029233E-2</v>
      </c>
      <c r="R150" s="154">
        <f t="shared" si="268"/>
        <v>6.4041863942187888E-2</v>
      </c>
      <c r="S150" s="154">
        <f t="shared" si="268"/>
        <v>5.675442382391023E-2</v>
      </c>
      <c r="T150" s="154">
        <f t="shared" si="268"/>
        <v>3.3188135241651109E-2</v>
      </c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40"/>
      <c r="AE150" s="9"/>
    </row>
    <row r="151" spans="1:31" ht="15" x14ac:dyDescent="0.2">
      <c r="A151" s="137" t="s">
        <v>127</v>
      </c>
      <c r="B151" s="105">
        <f t="shared" ref="B151:I151" si="269">(B44+B54)/(B68+B54+B44)</f>
        <v>0.4575111551809618</v>
      </c>
      <c r="C151" s="105">
        <f t="shared" si="269"/>
        <v>0.32372939956206059</v>
      </c>
      <c r="D151" s="105">
        <f t="shared" si="269"/>
        <v>0.43256997455470741</v>
      </c>
      <c r="E151" s="105">
        <f t="shared" si="269"/>
        <v>0.43101343101343109</v>
      </c>
      <c r="F151" s="105">
        <f t="shared" si="269"/>
        <v>0.453817246835443</v>
      </c>
      <c r="G151" s="105">
        <f t="shared" si="269"/>
        <v>0.44034927403797336</v>
      </c>
      <c r="H151" s="105">
        <f t="shared" si="269"/>
        <v>0.44127824140036637</v>
      </c>
      <c r="I151" s="105" t="e">
        <f t="shared" si="269"/>
        <v>#DIV/0!</v>
      </c>
      <c r="J151" s="105">
        <f t="shared" ref="J151:J154" si="270">AVERAGE(D151:H151)</f>
        <v>0.4398056335683842</v>
      </c>
      <c r="K151" s="137" t="str">
        <f>+K145</f>
        <v>Total Transportation</v>
      </c>
      <c r="L151" s="137"/>
      <c r="M151" s="137"/>
      <c r="N151" s="137"/>
      <c r="O151" s="137"/>
      <c r="P151" s="137"/>
      <c r="Q151" s="152">
        <f t="shared" si="268"/>
        <v>1</v>
      </c>
      <c r="R151" s="152">
        <f t="shared" si="268"/>
        <v>1</v>
      </c>
      <c r="S151" s="152">
        <f t="shared" si="268"/>
        <v>1</v>
      </c>
      <c r="T151" s="152">
        <f t="shared" si="268"/>
        <v>1</v>
      </c>
      <c r="U151" s="152">
        <f t="shared" ref="U151:AA151" si="271">+U145/U$145</f>
        <v>1</v>
      </c>
      <c r="V151" s="152">
        <f t="shared" si="271"/>
        <v>1</v>
      </c>
      <c r="W151" s="152">
        <f t="shared" si="271"/>
        <v>1</v>
      </c>
      <c r="X151" s="152">
        <f t="shared" si="271"/>
        <v>1</v>
      </c>
      <c r="Y151" s="152">
        <f t="shared" si="271"/>
        <v>1</v>
      </c>
      <c r="Z151" s="152">
        <f t="shared" si="271"/>
        <v>1</v>
      </c>
      <c r="AA151" s="152">
        <f t="shared" si="271"/>
        <v>1</v>
      </c>
      <c r="AB151" s="152">
        <f t="shared" ref="AB151" si="272">+AB145/AB$145</f>
        <v>1</v>
      </c>
      <c r="AC151" s="152" t="e">
        <f t="shared" ref="AC151" si="273">+AC145/AC$145</f>
        <v>#DIV/0!</v>
      </c>
      <c r="AD151" s="131">
        <f t="shared" ref="AD151" si="274">SUM(W145:AA145)/SUM(W$145:AA$145)</f>
        <v>1</v>
      </c>
      <c r="AE151" s="9"/>
    </row>
    <row r="152" spans="1:31" ht="15" x14ac:dyDescent="0.2">
      <c r="A152" s="137" t="s">
        <v>126</v>
      </c>
      <c r="B152" s="105" t="e">
        <f>+('Historical CF - Exhibit 1B'!#REF!+'Historical CF - Exhibit 1B'!#REF!)/(B44+B54)</f>
        <v>#REF!</v>
      </c>
      <c r="C152" s="105">
        <f>+('Historical CF - Exhibit 1B'!B30+'Historical CF - Exhibit 1B'!B46)/(C44+C54)</f>
        <v>0.39622641509433959</v>
      </c>
      <c r="D152" s="105">
        <f>+('Historical CF - Exhibit 1B'!C30+'Historical CF - Exhibit 1B'!C46)/(D44+D54)</f>
        <v>0.18779956427015249</v>
      </c>
      <c r="E152" s="105">
        <f>+('Historical CF - Exhibit 1B'!D30+'Historical CF - Exhibit 1B'!D46)/(E44+E54)</f>
        <v>0.19742863368925692</v>
      </c>
      <c r="F152" s="105">
        <f>+('Historical CF - Exhibit 1B'!E30+'Historical CF - Exhibit 1B'!E46)/(F44+F54)</f>
        <v>0.15537154064066241</v>
      </c>
      <c r="G152" s="105">
        <f>+('Historical CF - Exhibit 1B'!F30+'Historical CF - Exhibit 1B'!F46)/(G44+G54)</f>
        <v>0.17523633848282222</v>
      </c>
      <c r="H152" s="105">
        <f>+('Historical CF - Exhibit 1B'!H30+'Historical CF - Exhibit 1B'!H46)/(H44+H54)</f>
        <v>-5.6042435424354248E-2</v>
      </c>
      <c r="I152" s="105" t="e">
        <f>+('Historical CF - Exhibit 1B'!H30+'Historical CF - Exhibit 1B'!H46)/(I44+I54)</f>
        <v>#DIV/0!</v>
      </c>
      <c r="J152" s="105">
        <f t="shared" si="270"/>
        <v>0.13195872833170794</v>
      </c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9"/>
    </row>
    <row r="153" spans="1:31" ht="15" x14ac:dyDescent="0.2">
      <c r="A153" s="137" t="s">
        <v>129</v>
      </c>
      <c r="B153" s="131">
        <f t="shared" ref="B153:H153" si="275">+B107/B68</f>
        <v>0.10637908974593302</v>
      </c>
      <c r="C153" s="131">
        <f t="shared" si="275"/>
        <v>0.1148602590320382</v>
      </c>
      <c r="D153" s="131">
        <f t="shared" si="275"/>
        <v>0.11277196478990199</v>
      </c>
      <c r="E153" s="131">
        <f t="shared" si="275"/>
        <v>0.10680092439749091</v>
      </c>
      <c r="F153" s="131">
        <f>+F107/F68</f>
        <v>1.484700344015928E-2</v>
      </c>
      <c r="G153" s="131">
        <f t="shared" si="275"/>
        <v>0.10994194484760519</v>
      </c>
      <c r="H153" s="131">
        <f t="shared" si="275"/>
        <v>0.10856102003642985</v>
      </c>
      <c r="I153" s="131" t="e">
        <f>+I107/I68*4/3</f>
        <v>#DIV/0!</v>
      </c>
      <c r="J153" s="105">
        <f t="shared" si="270"/>
        <v>9.058457150231744E-2</v>
      </c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9"/>
    </row>
    <row r="154" spans="1:31" ht="15" x14ac:dyDescent="0.2">
      <c r="A154" s="137" t="s">
        <v>125</v>
      </c>
      <c r="B154" s="105" t="e">
        <f>+B98/((B44+#REF!+B54+#REF!)*0.5)</f>
        <v>#REF!</v>
      </c>
      <c r="C154" s="105">
        <f t="shared" ref="C154:H154" si="276">+C98/((C44+B44+C54+B54)*0.5)</f>
        <v>7.7596659032736104E-2</v>
      </c>
      <c r="D154" s="105">
        <f t="shared" si="276"/>
        <v>6.6225165562913912E-2</v>
      </c>
      <c r="E154" s="105">
        <f t="shared" si="276"/>
        <v>5.7304717289465089E-2</v>
      </c>
      <c r="F154" s="105">
        <f t="shared" si="276"/>
        <v>5.6221398997602971E-2</v>
      </c>
      <c r="G154" s="105">
        <f t="shared" si="276"/>
        <v>5.8480842482635007E-2</v>
      </c>
      <c r="H154" s="105">
        <f t="shared" si="276"/>
        <v>5.9956185864176184E-2</v>
      </c>
      <c r="I154" s="105">
        <f>+I98/((I44+F44+I54+F54)*0.5)*4/3</f>
        <v>0</v>
      </c>
      <c r="J154" s="105">
        <f t="shared" si="270"/>
        <v>5.9637662039358628E-2</v>
      </c>
      <c r="K154" s="137" t="s">
        <v>179</v>
      </c>
      <c r="L154" s="137"/>
      <c r="M154" s="137"/>
      <c r="N154" s="137"/>
      <c r="O154" s="137"/>
      <c r="P154" s="137"/>
      <c r="Q154" s="9"/>
      <c r="R154" s="9"/>
      <c r="S154" s="9"/>
      <c r="T154" s="164">
        <v>0.26</v>
      </c>
      <c r="U154" s="164">
        <v>0.23</v>
      </c>
      <c r="V154" s="164">
        <v>0.24</v>
      </c>
      <c r="W154" s="164">
        <v>0.25</v>
      </c>
      <c r="X154" s="164">
        <v>0.25</v>
      </c>
      <c r="Y154" s="164">
        <v>0.22</v>
      </c>
      <c r="Z154" s="164">
        <v>0.22</v>
      </c>
      <c r="AA154" s="164">
        <v>0.23</v>
      </c>
      <c r="AB154" s="164">
        <v>0.23</v>
      </c>
      <c r="AC154" s="164"/>
      <c r="AD154" s="164">
        <f>AVERAGE(X154:AB154)</f>
        <v>0.22999999999999998</v>
      </c>
      <c r="AE154" s="9"/>
    </row>
    <row r="155" spans="1:31" ht="15" x14ac:dyDescent="0.2">
      <c r="A155" s="137"/>
      <c r="B155" s="137"/>
      <c r="C155" s="137"/>
      <c r="D155" s="137"/>
      <c r="E155" s="137"/>
      <c r="F155" s="137"/>
      <c r="G155" s="137"/>
      <c r="H155" s="137"/>
      <c r="I155" s="137"/>
      <c r="J155" s="156"/>
      <c r="K155" s="137" t="s">
        <v>180</v>
      </c>
      <c r="L155" s="137"/>
      <c r="M155" s="137"/>
      <c r="N155" s="137"/>
      <c r="O155" s="137"/>
      <c r="P155" s="137"/>
      <c r="Q155" s="137"/>
      <c r="R155" s="137"/>
      <c r="S155" s="137"/>
      <c r="T155" s="136">
        <v>3112</v>
      </c>
      <c r="U155" s="136">
        <v>4155</v>
      </c>
      <c r="V155" s="136">
        <v>4243</v>
      </c>
      <c r="W155" s="136">
        <v>4744</v>
      </c>
      <c r="X155" s="136">
        <v>4973</v>
      </c>
      <c r="Y155" s="136">
        <v>5039</v>
      </c>
      <c r="Z155" s="136">
        <v>5121</v>
      </c>
      <c r="AA155" s="136">
        <v>5198</v>
      </c>
      <c r="AB155" s="136">
        <v>5221</v>
      </c>
      <c r="AC155" s="136"/>
      <c r="AD155" s="136">
        <f>AVERAGE(X155:AB155)</f>
        <v>5110.3999999999996</v>
      </c>
      <c r="AE155" s="9"/>
    </row>
    <row r="156" spans="1:31" ht="15.75" x14ac:dyDescent="0.25">
      <c r="A156" s="158" t="s">
        <v>106</v>
      </c>
      <c r="B156" s="137"/>
      <c r="C156" s="137"/>
      <c r="D156" s="137"/>
      <c r="E156" s="137"/>
      <c r="F156" s="137"/>
      <c r="G156" s="137"/>
      <c r="H156" s="137"/>
      <c r="I156" s="137"/>
      <c r="J156" s="156"/>
      <c r="K156" s="137" t="s">
        <v>181</v>
      </c>
      <c r="L156" s="137"/>
      <c r="M156" s="137"/>
      <c r="N156" s="137"/>
      <c r="O156" s="137"/>
      <c r="P156" s="137"/>
      <c r="Q156" s="137"/>
      <c r="R156" s="137"/>
      <c r="S156" s="137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7"/>
      <c r="AE156" s="9"/>
    </row>
    <row r="157" spans="1:31" ht="15" x14ac:dyDescent="0.2">
      <c r="A157" s="37" t="s">
        <v>60</v>
      </c>
      <c r="B157" s="21">
        <f t="shared" ref="B157:I157" si="277">(B45+B54)/(B$45+B$54+B$68)</f>
        <v>0.45740355053059606</v>
      </c>
      <c r="C157" s="21">
        <f t="shared" si="277"/>
        <v>0.43991600649040763</v>
      </c>
      <c r="D157" s="21">
        <f t="shared" si="277"/>
        <v>0.43256997455470741</v>
      </c>
      <c r="E157" s="21">
        <f t="shared" si="277"/>
        <v>0.43101343101343109</v>
      </c>
      <c r="F157" s="21">
        <f t="shared" si="277"/>
        <v>0.453817246835443</v>
      </c>
      <c r="G157" s="21">
        <f t="shared" si="277"/>
        <v>0.45425742574257427</v>
      </c>
      <c r="H157" s="21">
        <f t="shared" si="277"/>
        <v>0.44127824140036637</v>
      </c>
      <c r="I157" s="21" t="e">
        <f t="shared" si="277"/>
        <v>#DIV/0!</v>
      </c>
      <c r="J157" s="22">
        <f t="shared" ref="J157:J159" si="278">AVERAGE(D157:H157)</f>
        <v>0.44258726390930442</v>
      </c>
      <c r="K157" s="37" t="s">
        <v>182</v>
      </c>
      <c r="L157" s="37"/>
      <c r="M157" s="37"/>
      <c r="N157" s="37"/>
      <c r="O157" s="37"/>
      <c r="P157" s="37"/>
      <c r="Q157" s="37"/>
      <c r="R157" s="37"/>
      <c r="S157" s="37"/>
      <c r="T157" s="75">
        <v>171.42856559999998</v>
      </c>
      <c r="U157" s="75">
        <v>202.3809455</v>
      </c>
      <c r="V157" s="75">
        <v>288.09522829999997</v>
      </c>
      <c r="W157" s="75">
        <v>427</v>
      </c>
      <c r="X157" s="75">
        <v>233</v>
      </c>
      <c r="Y157" s="75">
        <v>253</v>
      </c>
      <c r="Z157" s="75">
        <v>163</v>
      </c>
      <c r="AA157" s="75">
        <v>128</v>
      </c>
      <c r="AB157" s="75">
        <v>121</v>
      </c>
      <c r="AC157" s="75"/>
      <c r="AD157" s="75">
        <f>AVERAGE(X157:AB157)</f>
        <v>179.6</v>
      </c>
    </row>
    <row r="158" spans="1:31" ht="15" x14ac:dyDescent="0.2">
      <c r="A158" s="37" t="s">
        <v>107</v>
      </c>
      <c r="B158" s="25">
        <f t="shared" ref="B158:I158" si="279">B68/(B$45+B$54+B$68)</f>
        <v>0.542596449469404</v>
      </c>
      <c r="C158" s="25">
        <f t="shared" si="279"/>
        <v>0.56008399350959248</v>
      </c>
      <c r="D158" s="25">
        <f t="shared" si="279"/>
        <v>0.56743002544529264</v>
      </c>
      <c r="E158" s="25">
        <f t="shared" si="279"/>
        <v>0.56898656898656907</v>
      </c>
      <c r="F158" s="25">
        <f t="shared" si="279"/>
        <v>0.546182753164557</v>
      </c>
      <c r="G158" s="25">
        <f t="shared" si="279"/>
        <v>0.54574257425742578</v>
      </c>
      <c r="H158" s="25">
        <f t="shared" si="279"/>
        <v>0.55872175859963358</v>
      </c>
      <c r="I158" s="25" t="e">
        <f t="shared" si="279"/>
        <v>#DIV/0!</v>
      </c>
      <c r="J158" s="67">
        <f t="shared" si="278"/>
        <v>0.55741273609069553</v>
      </c>
      <c r="K158" s="37" t="s">
        <v>183</v>
      </c>
      <c r="L158" s="37"/>
      <c r="M158" s="37"/>
      <c r="N158" s="37"/>
      <c r="O158" s="37"/>
      <c r="P158" s="37"/>
      <c r="Q158" s="37"/>
      <c r="R158" s="37"/>
      <c r="S158" s="37"/>
      <c r="T158" s="104">
        <v>49.98</v>
      </c>
      <c r="U158" s="104">
        <v>71.399999999999991</v>
      </c>
      <c r="V158" s="104">
        <v>38.64</v>
      </c>
      <c r="W158" s="104">
        <v>56.04</v>
      </c>
      <c r="X158" s="104">
        <v>73.77</v>
      </c>
      <c r="Y158" s="104">
        <v>61.16</v>
      </c>
      <c r="Z158" s="104">
        <v>59</v>
      </c>
      <c r="AA158" s="104">
        <v>54.17</v>
      </c>
      <c r="AB158" s="104">
        <v>21.04</v>
      </c>
      <c r="AC158" s="104"/>
      <c r="AD158" s="104">
        <f>AVERAGE(X158:AB158)</f>
        <v>53.82800000000001</v>
      </c>
    </row>
    <row r="159" spans="1:31" ht="15" x14ac:dyDescent="0.2">
      <c r="A159" s="37"/>
      <c r="B159" s="21">
        <f t="shared" ref="B159:C159" si="280">SUM(B157:B158)</f>
        <v>1</v>
      </c>
      <c r="C159" s="21">
        <f t="shared" si="280"/>
        <v>1</v>
      </c>
      <c r="D159" s="21">
        <f t="shared" ref="D159:E159" si="281">SUM(D157:D158)</f>
        <v>1</v>
      </c>
      <c r="E159" s="21">
        <f t="shared" si="281"/>
        <v>1.0000000000000002</v>
      </c>
      <c r="F159" s="21">
        <f t="shared" ref="F159:G159" si="282">SUM(F157:F158)</f>
        <v>1</v>
      </c>
      <c r="G159" s="21">
        <f t="shared" si="282"/>
        <v>1</v>
      </c>
      <c r="H159" s="21">
        <f t="shared" ref="H159" si="283">SUM(H157:H158)</f>
        <v>1</v>
      </c>
      <c r="I159" s="21" t="e">
        <f t="shared" ref="I159" si="284">SUM(I157:I158)</f>
        <v>#DIV/0!</v>
      </c>
      <c r="J159" s="22">
        <f t="shared" si="278"/>
        <v>1</v>
      </c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1" ht="15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22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104"/>
      <c r="Y160" s="37"/>
      <c r="Z160" s="37"/>
      <c r="AA160" s="37"/>
      <c r="AB160" s="37"/>
      <c r="AC160" s="37"/>
      <c r="AD160" s="37"/>
    </row>
    <row r="161" spans="1:31" ht="15.75" x14ac:dyDescent="0.25">
      <c r="A161" s="61" t="s">
        <v>108</v>
      </c>
      <c r="B161" s="37"/>
      <c r="C161" s="37"/>
      <c r="D161" s="37"/>
      <c r="E161" s="37"/>
      <c r="F161" s="37"/>
      <c r="G161" s="37"/>
      <c r="H161" s="37"/>
      <c r="I161" s="37"/>
      <c r="J161" s="22"/>
      <c r="K161" s="137" t="s">
        <v>188</v>
      </c>
      <c r="L161" s="137"/>
      <c r="M161" s="137"/>
      <c r="N161" s="137"/>
      <c r="O161" s="137"/>
      <c r="P161" s="137"/>
      <c r="Q161" s="137"/>
      <c r="R161" s="137"/>
      <c r="S161" s="131">
        <f t="shared" ref="S161:V162" si="285">+S168</f>
        <v>0</v>
      </c>
      <c r="T161" s="131">
        <f t="shared" si="285"/>
        <v>0</v>
      </c>
      <c r="U161" s="131">
        <f t="shared" si="285"/>
        <v>0</v>
      </c>
      <c r="V161" s="131">
        <f t="shared" si="285"/>
        <v>0</v>
      </c>
      <c r="W161" s="153">
        <f t="shared" ref="W161:AC161" si="286">+W83</f>
        <v>0.27286135693215341</v>
      </c>
      <c r="X161" s="153">
        <f t="shared" si="286"/>
        <v>0.27373068432671083</v>
      </c>
      <c r="Y161" s="153">
        <f t="shared" si="286"/>
        <v>0.26810810810810815</v>
      </c>
      <c r="Z161" s="153">
        <f t="shared" si="286"/>
        <v>0.28812922614575509</v>
      </c>
      <c r="AA161" s="153">
        <f t="shared" si="286"/>
        <v>0.27927245168624482</v>
      </c>
      <c r="AB161" s="153">
        <f t="shared" si="286"/>
        <v>0.28555133079847905</v>
      </c>
      <c r="AC161" s="153" t="e">
        <f t="shared" si="286"/>
        <v>#DIV/0!</v>
      </c>
      <c r="AD161" s="153">
        <f>AVERAGE(X161:AB161)</f>
        <v>0.27895836021305953</v>
      </c>
      <c r="AE161" s="9"/>
    </row>
    <row r="162" spans="1:31" ht="15" x14ac:dyDescent="0.2">
      <c r="A162" s="37" t="s">
        <v>109</v>
      </c>
      <c r="B162" s="21">
        <f t="shared" ref="B162:I162" si="287">(B$44)/(B$44+B$45+B$61+B$68+B$54)</f>
        <v>1.9831432821021321E-4</v>
      </c>
      <c r="C162" s="21">
        <f t="shared" si="287"/>
        <v>0</v>
      </c>
      <c r="D162" s="21">
        <f t="shared" si="287"/>
        <v>0</v>
      </c>
      <c r="E162" s="21">
        <f t="shared" si="287"/>
        <v>0</v>
      </c>
      <c r="F162" s="21">
        <f t="shared" si="287"/>
        <v>0</v>
      </c>
      <c r="G162" s="21">
        <f t="shared" si="287"/>
        <v>0</v>
      </c>
      <c r="H162" s="21">
        <f t="shared" si="287"/>
        <v>0</v>
      </c>
      <c r="I162" s="21" t="e">
        <f t="shared" si="287"/>
        <v>#DIV/0!</v>
      </c>
      <c r="J162" s="22">
        <f t="shared" ref="J162:J165" si="288">AVERAGE(D162:H162)</f>
        <v>0</v>
      </c>
      <c r="K162" s="137" t="s">
        <v>189</v>
      </c>
      <c r="L162" s="137"/>
      <c r="M162" s="137"/>
      <c r="N162" s="137"/>
      <c r="O162" s="137"/>
      <c r="P162" s="137"/>
      <c r="Q162" s="137"/>
      <c r="R162" s="137"/>
      <c r="S162" s="131">
        <f t="shared" si="285"/>
        <v>0</v>
      </c>
      <c r="T162" s="131">
        <f t="shared" si="285"/>
        <v>0</v>
      </c>
      <c r="U162" s="131">
        <f t="shared" si="285"/>
        <v>0</v>
      </c>
      <c r="V162" s="131">
        <f t="shared" si="285"/>
        <v>0</v>
      </c>
      <c r="W162" s="153">
        <f t="shared" ref="W162:AC162" si="289">+W149</f>
        <v>0.14846235418875928</v>
      </c>
      <c r="X162" s="153">
        <f t="shared" si="289"/>
        <v>0.14935479749584771</v>
      </c>
      <c r="Y162" s="153">
        <f t="shared" si="289"/>
        <v>0.12009858839345731</v>
      </c>
      <c r="Z162" s="153">
        <f t="shared" si="289"/>
        <v>0.13689998854393401</v>
      </c>
      <c r="AA162" s="153">
        <f t="shared" si="289"/>
        <v>0.13872970391595033</v>
      </c>
      <c r="AB162" s="153">
        <f t="shared" si="289"/>
        <v>0.12682696841112684</v>
      </c>
      <c r="AC162" s="153" t="e">
        <f t="shared" si="289"/>
        <v>#DIV/0!</v>
      </c>
      <c r="AD162" s="153">
        <f t="shared" ref="AD162:AD163" si="290">AVERAGE(X162:AB162)</f>
        <v>0.13438200935206324</v>
      </c>
      <c r="AE162" s="9"/>
    </row>
    <row r="163" spans="1:31" ht="15" x14ac:dyDescent="0.2">
      <c r="A163" s="37" t="s">
        <v>60</v>
      </c>
      <c r="B163" s="21">
        <f t="shared" ref="B163:I163" si="291">(B$54+B45)/(B$44+B$45+B$61+B$68+B$54)</f>
        <v>0.45731284085275159</v>
      </c>
      <c r="C163" s="21">
        <f t="shared" si="291"/>
        <v>0.43991600649040763</v>
      </c>
      <c r="D163" s="21">
        <f t="shared" si="291"/>
        <v>0.43256997455470741</v>
      </c>
      <c r="E163" s="21">
        <f t="shared" si="291"/>
        <v>0.43101343101343109</v>
      </c>
      <c r="F163" s="21">
        <f t="shared" si="291"/>
        <v>0.453817246835443</v>
      </c>
      <c r="G163" s="21">
        <f t="shared" si="291"/>
        <v>0.45425742574257427</v>
      </c>
      <c r="H163" s="21">
        <f t="shared" si="291"/>
        <v>0.44127824140036637</v>
      </c>
      <c r="I163" s="21" t="e">
        <f t="shared" si="291"/>
        <v>#DIV/0!</v>
      </c>
      <c r="J163" s="22">
        <f t="shared" si="288"/>
        <v>0.44258726390930442</v>
      </c>
      <c r="K163" s="137" t="s">
        <v>11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53">
        <f>+W161-W162</f>
        <v>0.12439900274339413</v>
      </c>
      <c r="X163" s="153">
        <f t="shared" ref="X163:AC163" si="292">+X161-X162</f>
        <v>0.12437588683086312</v>
      </c>
      <c r="Y163" s="153">
        <f t="shared" si="292"/>
        <v>0.14800951971465082</v>
      </c>
      <c r="Z163" s="153">
        <f t="shared" si="292"/>
        <v>0.15122923760182108</v>
      </c>
      <c r="AA163" s="153">
        <f t="shared" si="292"/>
        <v>0.14054274777029449</v>
      </c>
      <c r="AB163" s="153">
        <f t="shared" si="292"/>
        <v>0.15872436238735221</v>
      </c>
      <c r="AC163" s="153" t="e">
        <f t="shared" si="292"/>
        <v>#DIV/0!</v>
      </c>
      <c r="AD163" s="153">
        <f t="shared" si="290"/>
        <v>0.14457635086099635</v>
      </c>
      <c r="AE163" s="9"/>
    </row>
    <row r="164" spans="1:31" ht="15" x14ac:dyDescent="0.2">
      <c r="A164" s="37" t="s">
        <v>5</v>
      </c>
      <c r="B164" s="21">
        <f t="shared" ref="B164:I164" si="293">B$68/(B$44+B$45+B$61+B$68+B$54)</f>
        <v>0.54248884481903825</v>
      </c>
      <c r="C164" s="21">
        <f t="shared" si="293"/>
        <v>0.56008399350959248</v>
      </c>
      <c r="D164" s="21">
        <f t="shared" si="293"/>
        <v>0.56743002544529264</v>
      </c>
      <c r="E164" s="21">
        <f t="shared" si="293"/>
        <v>0.56898656898656907</v>
      </c>
      <c r="F164" s="21">
        <f t="shared" si="293"/>
        <v>0.546182753164557</v>
      </c>
      <c r="G164" s="21">
        <f t="shared" si="293"/>
        <v>0.54574257425742578</v>
      </c>
      <c r="H164" s="21">
        <f t="shared" si="293"/>
        <v>0.55872175859963358</v>
      </c>
      <c r="I164" s="21" t="e">
        <f t="shared" si="293"/>
        <v>#DIV/0!</v>
      </c>
      <c r="J164" s="67">
        <f t="shared" si="288"/>
        <v>0.55741273609069553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5" x14ac:dyDescent="0.2">
      <c r="A165" s="37"/>
      <c r="B165" s="44">
        <f t="shared" ref="B165:C165" si="294">SUM(B162:B164)</f>
        <v>1</v>
      </c>
      <c r="C165" s="44">
        <f t="shared" si="294"/>
        <v>1</v>
      </c>
      <c r="D165" s="44">
        <f t="shared" ref="D165:E165" si="295">SUM(D162:D164)</f>
        <v>1</v>
      </c>
      <c r="E165" s="44">
        <f t="shared" si="295"/>
        <v>1.0000000000000002</v>
      </c>
      <c r="F165" s="44">
        <f t="shared" ref="F165:G165" si="296">SUM(F162:F164)</f>
        <v>1</v>
      </c>
      <c r="G165" s="44">
        <f t="shared" si="296"/>
        <v>1</v>
      </c>
      <c r="H165" s="44">
        <f t="shared" ref="H165" si="297">SUM(H162:H164)</f>
        <v>1</v>
      </c>
      <c r="I165" s="44" t="e">
        <f t="shared" ref="I165" si="298">SUM(I162:I164)</f>
        <v>#DIV/0!</v>
      </c>
      <c r="J165" s="22">
        <f t="shared" si="288"/>
        <v>1</v>
      </c>
      <c r="K165" s="137" t="s">
        <v>191</v>
      </c>
      <c r="L165" s="137"/>
      <c r="M165" s="137"/>
      <c r="N165" s="137"/>
      <c r="O165" s="137"/>
      <c r="P165" s="137"/>
      <c r="Q165" s="137"/>
      <c r="R165" s="137"/>
      <c r="S165" s="164" t="e">
        <f>+#REF!</f>
        <v>#REF!</v>
      </c>
      <c r="T165" s="165" t="e">
        <f>+#REF!/T143</f>
        <v>#REF!</v>
      </c>
      <c r="U165" s="165" t="e">
        <f>+#REF!/U143</f>
        <v>#REF!</v>
      </c>
      <c r="V165" s="165">
        <f t="shared" ref="V165:AC165" si="299">+B83/V143</f>
        <v>6.3861824623560664E-4</v>
      </c>
      <c r="W165" s="165">
        <f t="shared" si="299"/>
        <v>6.6071428571428574E-4</v>
      </c>
      <c r="X165" s="165">
        <f t="shared" si="299"/>
        <v>6.3644140290846881E-4</v>
      </c>
      <c r="Y165" s="165">
        <f t="shared" si="299"/>
        <v>6.9402985074626866E-4</v>
      </c>
      <c r="Z165" s="165">
        <f t="shared" si="299"/>
        <v>6.4184100418410042E-4</v>
      </c>
      <c r="AA165" s="165">
        <f t="shared" si="299"/>
        <v>6.3425129087779696E-4</v>
      </c>
      <c r="AB165" s="165">
        <f t="shared" si="299"/>
        <v>6.9795539033457238E-4</v>
      </c>
      <c r="AC165" s="165" t="e">
        <f t="shared" si="299"/>
        <v>#DIV/0!</v>
      </c>
      <c r="AD165" s="164">
        <f>AVERAGE(X165:AB165)</f>
        <v>6.6090378781024142E-4</v>
      </c>
      <c r="AE165" s="9"/>
    </row>
    <row r="166" spans="1:31" ht="15" x14ac:dyDescent="0.2">
      <c r="K166" s="137" t="s">
        <v>190</v>
      </c>
      <c r="L166" s="137"/>
      <c r="M166" s="137"/>
      <c r="N166" s="137"/>
      <c r="O166" s="137"/>
      <c r="P166" s="137"/>
      <c r="Q166" s="137"/>
      <c r="R166" s="137"/>
      <c r="S166" s="166" t="e">
        <f>+#REF!</f>
        <v>#REF!</v>
      </c>
      <c r="T166" s="164" t="e">
        <f>+#REF!/T142</f>
        <v>#REF!</v>
      </c>
      <c r="U166" s="164" t="e">
        <f>+#REF!/U142</f>
        <v>#REF!</v>
      </c>
      <c r="V166" s="164">
        <f t="shared" ref="V166:AC166" si="300">+B82/V142</f>
        <v>2.7255247556481335E-4</v>
      </c>
      <c r="W166" s="164">
        <f t="shared" si="300"/>
        <v>3.0697384806973845E-4</v>
      </c>
      <c r="X166" s="164">
        <f t="shared" si="300"/>
        <v>2.964854310603785E-4</v>
      </c>
      <c r="Y166" s="164">
        <f t="shared" si="300"/>
        <v>2.5859434682964092E-4</v>
      </c>
      <c r="Z166" s="164">
        <f t="shared" si="300"/>
        <v>2.5152641359171753E-4</v>
      </c>
      <c r="AA166" s="164">
        <f t="shared" si="300"/>
        <v>2.6365400609925141E-4</v>
      </c>
      <c r="AB166" s="164">
        <f t="shared" si="300"/>
        <v>2.5364470842332616E-4</v>
      </c>
      <c r="AC166" s="164" t="e">
        <f t="shared" si="300"/>
        <v>#DIV/0!</v>
      </c>
      <c r="AD166" s="164">
        <f t="shared" ref="AD166:AD167" si="301">AVERAGE(X166:AB166)</f>
        <v>2.6478098120086291E-4</v>
      </c>
      <c r="AE166" s="9"/>
    </row>
    <row r="167" spans="1:31" ht="15" x14ac:dyDescent="0.2">
      <c r="D167" s="130">
        <f>(1+0.015)^4-1</f>
        <v>6.136355062499943E-2</v>
      </c>
      <c r="K167" s="137" t="s">
        <v>193</v>
      </c>
      <c r="L167" s="137"/>
      <c r="M167" s="137"/>
      <c r="N167" s="137"/>
      <c r="O167" s="137"/>
      <c r="P167" s="137"/>
      <c r="Q167" s="137"/>
      <c r="R167" s="137"/>
      <c r="S167" s="137"/>
      <c r="T167" s="164" t="e">
        <f>+#REF!/T145</f>
        <v>#REF!</v>
      </c>
      <c r="U167" s="164" t="e">
        <f>+#REF!/U145</f>
        <v>#REF!</v>
      </c>
      <c r="V167" s="164">
        <f t="shared" ref="V167:AC167" si="302">+B85/V145</f>
        <v>3.3297150610583443E-4</v>
      </c>
      <c r="W167" s="164">
        <f t="shared" si="302"/>
        <v>3.5949098621420998E-4</v>
      </c>
      <c r="X167" s="164">
        <f t="shared" si="302"/>
        <v>3.4725948639325411E-4</v>
      </c>
      <c r="Y167" s="164">
        <f t="shared" si="302"/>
        <v>3.1088953618642166E-4</v>
      </c>
      <c r="Z167" s="164">
        <f t="shared" si="302"/>
        <v>3.0496047657234502E-4</v>
      </c>
      <c r="AA167" s="164">
        <f t="shared" si="302"/>
        <v>3.1506685768863417E-4</v>
      </c>
      <c r="AB167" s="164">
        <f t="shared" si="302"/>
        <v>3.0999528524280998E-4</v>
      </c>
      <c r="AC167" s="164" t="e">
        <f t="shared" si="302"/>
        <v>#DIV/0!</v>
      </c>
      <c r="AD167" s="164">
        <f t="shared" si="301"/>
        <v>3.17634328416693E-4</v>
      </c>
      <c r="AE167" s="9"/>
    </row>
    <row r="168" spans="1:31" ht="15" x14ac:dyDescent="0.2">
      <c r="K168" s="137"/>
      <c r="L168" s="137"/>
      <c r="M168" s="137"/>
      <c r="N168" s="137"/>
      <c r="O168" s="137"/>
      <c r="P168" s="137"/>
      <c r="Q168" s="131"/>
      <c r="R168" s="131"/>
      <c r="S168" s="131"/>
      <c r="T168" s="131"/>
      <c r="U168" s="131"/>
      <c r="V168" s="131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" x14ac:dyDescent="0.2">
      <c r="K169" s="37"/>
      <c r="L169" s="37"/>
      <c r="M169" s="37"/>
      <c r="N169" s="37"/>
      <c r="O169" s="37"/>
      <c r="P169" s="37"/>
      <c r="Q169" s="21"/>
      <c r="R169" s="21"/>
      <c r="S169" s="21"/>
      <c r="T169" s="21"/>
      <c r="U169" s="21"/>
      <c r="V169" s="21"/>
    </row>
    <row r="170" spans="1:31" ht="15" x14ac:dyDescent="0.2">
      <c r="B170">
        <v>1</v>
      </c>
      <c r="K170" s="37"/>
      <c r="L170" s="37"/>
      <c r="M170" s="37"/>
      <c r="N170" s="37"/>
      <c r="O170" s="37"/>
      <c r="P170" s="37"/>
      <c r="Q170" s="22"/>
      <c r="R170" s="22"/>
      <c r="S170" s="22"/>
      <c r="T170" s="22"/>
      <c r="U170" s="22"/>
      <c r="V170" s="22"/>
      <c r="W170" s="89"/>
      <c r="X170" s="89"/>
      <c r="Y170" s="89"/>
      <c r="Z170" s="89"/>
      <c r="AA170" s="89"/>
      <c r="AB170" s="89"/>
      <c r="AC170" s="89"/>
      <c r="AD170" s="90"/>
    </row>
  </sheetData>
  <mergeCells count="18">
    <mergeCell ref="A75:J75"/>
    <mergeCell ref="K75:AD75"/>
    <mergeCell ref="A3:J3"/>
    <mergeCell ref="A4:J4"/>
    <mergeCell ref="A5:J5"/>
    <mergeCell ref="A73:J73"/>
    <mergeCell ref="A74:J74"/>
    <mergeCell ref="K3:AD3"/>
    <mergeCell ref="K4:AD4"/>
    <mergeCell ref="K5:AD5"/>
    <mergeCell ref="K73:AD73"/>
    <mergeCell ref="K74:AD74"/>
    <mergeCell ref="A114:I114"/>
    <mergeCell ref="A115:I115"/>
    <mergeCell ref="A116:I116"/>
    <mergeCell ref="K114:AC114"/>
    <mergeCell ref="K115:AC115"/>
    <mergeCell ref="K116:AC116"/>
  </mergeCells>
  <phoneticPr fontId="4" type="noConversion"/>
  <printOptions horizontalCentered="1"/>
  <pageMargins left="0.5" right="0.5" top="1" bottom="1" header="0.5" footer="0.5"/>
  <pageSetup scale="69" fitToWidth="2" orientation="portrait" r:id="rId1"/>
  <headerFooter alignWithMargins="0"/>
  <rowBreaks count="2" manualBreakCount="2">
    <brk id="69" max="33" man="1"/>
    <brk id="112" max="33" man="1"/>
  </rowBreaks>
  <colBreaks count="1" manualBreakCount="1">
    <brk id="10" max="1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workbookViewId="0">
      <selection activeCell="K10" sqref="K10"/>
    </sheetView>
  </sheetViews>
  <sheetFormatPr defaultRowHeight="12.75" x14ac:dyDescent="0.2"/>
  <cols>
    <col min="1" max="1" width="44.42578125" style="7" customWidth="1"/>
    <col min="2" max="7" width="10.7109375" style="6" customWidth="1"/>
    <col min="8" max="8" width="10.7109375" style="6" hidden="1" customWidth="1"/>
    <col min="9" max="9" width="11.28515625" style="8" customWidth="1"/>
    <col min="10" max="16384" width="9.140625" style="6"/>
  </cols>
  <sheetData>
    <row r="1" spans="1:10" ht="15.75" x14ac:dyDescent="0.25">
      <c r="I1" s="12" t="str">
        <f>+'Historical - Exhibit 1'!J1</f>
        <v>DPU Exhibit 1.4 DIR</v>
      </c>
      <c r="J1" s="8"/>
    </row>
    <row r="2" spans="1:10" ht="15.75" x14ac:dyDescent="0.25">
      <c r="I2" s="91" t="s">
        <v>116</v>
      </c>
      <c r="J2" s="8"/>
    </row>
    <row r="3" spans="1:10" ht="20.25" x14ac:dyDescent="0.3">
      <c r="A3" s="193" t="str">
        <f>+'Historical - Exhibit 1'!A3:J3</f>
        <v>Questar Pipeline Company</v>
      </c>
      <c r="B3" s="193"/>
      <c r="C3" s="193"/>
      <c r="D3" s="193"/>
      <c r="E3" s="193"/>
      <c r="F3" s="193"/>
      <c r="G3" s="193"/>
      <c r="H3" s="193"/>
      <c r="I3" s="193"/>
      <c r="J3" s="8"/>
    </row>
    <row r="4" spans="1:10" ht="15.75" x14ac:dyDescent="0.25">
      <c r="A4" s="194" t="s">
        <v>87</v>
      </c>
      <c r="B4" s="194"/>
      <c r="C4" s="194"/>
      <c r="D4" s="194"/>
      <c r="E4" s="194"/>
      <c r="F4" s="194"/>
      <c r="G4" s="194"/>
      <c r="H4" s="194"/>
      <c r="I4" s="194"/>
      <c r="J4" s="8"/>
    </row>
    <row r="5" spans="1:10" ht="15" customHeight="1" x14ac:dyDescent="0.25">
      <c r="A5" s="194" t="str">
        <f>'Historical - Exhibit 1'!A5</f>
        <v>Years Ended December 31</v>
      </c>
      <c r="B5" s="194"/>
      <c r="C5" s="194"/>
      <c r="D5" s="194"/>
      <c r="E5" s="194"/>
      <c r="F5" s="194"/>
      <c r="G5" s="194"/>
      <c r="H5" s="194"/>
      <c r="I5" s="194"/>
      <c r="J5" s="8"/>
    </row>
    <row r="6" spans="1:10" ht="15" customHeight="1" x14ac:dyDescent="0.25">
      <c r="A6" s="68"/>
      <c r="B6" s="68"/>
      <c r="C6" s="68"/>
      <c r="D6" s="68"/>
      <c r="E6" s="68"/>
      <c r="F6" s="68"/>
      <c r="G6" s="68"/>
      <c r="H6" s="68"/>
      <c r="I6" s="69" t="str">
        <f>'Historical - Exhibit 1'!J7</f>
        <v>2010 to 2015</v>
      </c>
      <c r="J6" s="8"/>
    </row>
    <row r="7" spans="1:10" ht="15.75" x14ac:dyDescent="0.25">
      <c r="A7" s="70" t="str">
        <f>+'Historical - Exhibit 1'!A7</f>
        <v>(Millions of dollars)</v>
      </c>
      <c r="B7" s="71"/>
      <c r="C7" s="71"/>
      <c r="D7" s="102"/>
      <c r="E7" s="123"/>
      <c r="H7" s="132" t="str">
        <f>+'Historical - Exhibit 1'!I8</f>
        <v>1st Quarter</v>
      </c>
      <c r="I7" s="72" t="s">
        <v>3</v>
      </c>
      <c r="J7" s="8"/>
    </row>
    <row r="8" spans="1:10" ht="15.75" x14ac:dyDescent="0.25">
      <c r="A8" s="70"/>
      <c r="B8" s="73">
        <f>+'Historical - Exhibit 1'!C9</f>
        <v>2010</v>
      </c>
      <c r="C8" s="73">
        <f>+'Historical - Exhibit 1'!D9</f>
        <v>2011</v>
      </c>
      <c r="D8" s="73">
        <f>+'Historical - Exhibit 1'!E9</f>
        <v>2012</v>
      </c>
      <c r="E8" s="73">
        <f>+'Historical - Exhibit 1'!F9</f>
        <v>2013</v>
      </c>
      <c r="F8" s="73">
        <f>+'Historical - Exhibit 1'!G9</f>
        <v>2014</v>
      </c>
      <c r="G8" s="73">
        <f>+'Historical - Exhibit 1'!H9</f>
        <v>2015</v>
      </c>
      <c r="H8" s="73">
        <f>+'Historical - Exhibit 1'!I9</f>
        <v>2016</v>
      </c>
      <c r="I8" s="74" t="s">
        <v>25</v>
      </c>
      <c r="J8" s="8"/>
    </row>
    <row r="9" spans="1:10" ht="12.75" customHeight="1" x14ac:dyDescent="0.2">
      <c r="A9" s="13"/>
      <c r="B9" s="14"/>
      <c r="C9" s="14"/>
      <c r="D9" s="14"/>
      <c r="E9" s="14"/>
      <c r="F9" s="14"/>
      <c r="G9" s="14"/>
      <c r="H9" s="14"/>
      <c r="I9" s="15"/>
      <c r="J9" s="8"/>
    </row>
    <row r="10" spans="1:10" ht="15" x14ac:dyDescent="0.2">
      <c r="A10" s="13"/>
      <c r="B10" s="14"/>
      <c r="C10" s="14"/>
      <c r="D10" s="14"/>
      <c r="E10" s="14"/>
      <c r="F10" s="14"/>
      <c r="G10" s="14"/>
      <c r="H10" s="14"/>
      <c r="I10" s="15"/>
      <c r="J10" s="8"/>
    </row>
    <row r="11" spans="1:10" ht="15" x14ac:dyDescent="0.2">
      <c r="A11" s="16" t="s">
        <v>73</v>
      </c>
      <c r="B11" s="18"/>
      <c r="C11" s="18"/>
      <c r="D11" s="18"/>
      <c r="E11" s="18"/>
      <c r="F11" s="18"/>
      <c r="G11" s="18"/>
      <c r="H11" s="18"/>
      <c r="I11" s="19"/>
    </row>
    <row r="12" spans="1:10" ht="15" x14ac:dyDescent="0.2">
      <c r="A12" s="20" t="s">
        <v>74</v>
      </c>
      <c r="B12" s="180">
        <f>'Historical - Exhibit 1'!C107</f>
        <v>67.400000000000006</v>
      </c>
      <c r="C12" s="180">
        <f>'Historical - Exhibit 1'!D107</f>
        <v>67.899999999999991</v>
      </c>
      <c r="D12" s="180">
        <f>+'Historical - Exhibit 1'!E107</f>
        <v>64.699999999999989</v>
      </c>
      <c r="E12" s="180">
        <f>+'Historical - Exhibit 1'!F107</f>
        <v>8.1999999999999709</v>
      </c>
      <c r="F12" s="180">
        <f>+'Historical - Exhibit 1'!G107</f>
        <v>60.599999999999987</v>
      </c>
      <c r="G12" s="180">
        <f>+'Historical - Exhibit 1'!H107</f>
        <v>59.599999999999987</v>
      </c>
      <c r="H12" s="17">
        <f>+'Historical - Exhibit 1'!I107</f>
        <v>0</v>
      </c>
      <c r="I12" s="21">
        <f>RATE(5,,-B12,G12)</f>
        <v>-2.429782604152677E-2</v>
      </c>
    </row>
    <row r="13" spans="1:10" ht="15" x14ac:dyDescent="0.2">
      <c r="A13" s="16" t="s">
        <v>75</v>
      </c>
      <c r="B13" s="81"/>
      <c r="C13" s="81"/>
      <c r="D13" s="81"/>
      <c r="E13" s="81"/>
      <c r="F13" s="81"/>
      <c r="G13" s="81"/>
      <c r="H13" s="81"/>
      <c r="I13" s="21"/>
    </row>
    <row r="14" spans="1:10" ht="15" x14ac:dyDescent="0.2">
      <c r="A14" s="20" t="s">
        <v>76</v>
      </c>
      <c r="B14" s="181">
        <v>49.9</v>
      </c>
      <c r="C14" s="181">
        <v>53.9</v>
      </c>
      <c r="D14" s="181">
        <v>56.8</v>
      </c>
      <c r="E14" s="181">
        <v>58.1</v>
      </c>
      <c r="F14" s="181">
        <v>56.9</v>
      </c>
      <c r="G14" s="181">
        <v>57.1</v>
      </c>
      <c r="H14" s="113">
        <v>28.9</v>
      </c>
      <c r="I14" s="21">
        <f t="shared" ref="I14:I16" si="0">RATE(5,,-B14,G14)</f>
        <v>2.732323937378137E-2</v>
      </c>
    </row>
    <row r="15" spans="1:10" ht="15" x14ac:dyDescent="0.2">
      <c r="A15" s="20" t="s">
        <v>147</v>
      </c>
      <c r="B15" s="82">
        <v>17.2</v>
      </c>
      <c r="C15" s="82">
        <v>34.5</v>
      </c>
      <c r="D15" s="82">
        <v>41.1</v>
      </c>
      <c r="E15" s="82">
        <v>-14.3</v>
      </c>
      <c r="F15" s="82">
        <v>12.6</v>
      </c>
      <c r="G15" s="82">
        <v>10.1</v>
      </c>
      <c r="H15" s="18">
        <v>-1.1000000000000001</v>
      </c>
      <c r="I15" s="21">
        <f t="shared" si="0"/>
        <v>-0.10100229018512841</v>
      </c>
    </row>
    <row r="16" spans="1:10" ht="15" x14ac:dyDescent="0.2">
      <c r="A16" s="23" t="s">
        <v>95</v>
      </c>
      <c r="B16" s="82">
        <v>-0.8</v>
      </c>
      <c r="C16" s="82">
        <v>-0.3</v>
      </c>
      <c r="D16" s="82">
        <v>-2.7</v>
      </c>
      <c r="E16" s="82"/>
      <c r="F16" s="82">
        <v>0.5</v>
      </c>
      <c r="G16" s="82">
        <v>-0.2</v>
      </c>
      <c r="H16" s="18"/>
      <c r="I16" s="21">
        <f t="shared" si="0"/>
        <v>-0.24214171674476961</v>
      </c>
    </row>
    <row r="17" spans="1:9" ht="15" x14ac:dyDescent="0.2">
      <c r="A17" s="122" t="s">
        <v>198</v>
      </c>
      <c r="B17" s="82"/>
      <c r="C17" s="82"/>
      <c r="D17" s="82"/>
      <c r="E17" s="82">
        <v>80.599999999999994</v>
      </c>
      <c r="F17" s="82"/>
      <c r="G17" s="82"/>
      <c r="H17" s="18"/>
      <c r="I17" s="21"/>
    </row>
    <row r="18" spans="1:9" ht="15" x14ac:dyDescent="0.2">
      <c r="A18" s="23" t="s">
        <v>153</v>
      </c>
      <c r="B18" s="82">
        <v>1.3</v>
      </c>
      <c r="C18" s="82">
        <v>1.8</v>
      </c>
      <c r="D18" s="82">
        <f>2+0.4</f>
        <v>2.4</v>
      </c>
      <c r="E18" s="82">
        <f>2+0.5</f>
        <v>2.5</v>
      </c>
      <c r="F18" s="82">
        <f>2.1+0.5</f>
        <v>2.6</v>
      </c>
      <c r="G18" s="82">
        <f>2+0.6</f>
        <v>2.6</v>
      </c>
      <c r="H18" s="18">
        <v>1.3</v>
      </c>
      <c r="I18" s="21">
        <f>RATE(5,,-B18,G18)</f>
        <v>0.14869835499702114</v>
      </c>
    </row>
    <row r="19" spans="1:9" ht="15" x14ac:dyDescent="0.2">
      <c r="A19" s="16" t="s">
        <v>77</v>
      </c>
      <c r="B19" s="82"/>
      <c r="C19" s="82"/>
      <c r="D19" s="82"/>
      <c r="E19" s="82"/>
      <c r="F19" s="82"/>
      <c r="G19" s="82"/>
      <c r="H19" s="18"/>
      <c r="I19" s="21"/>
    </row>
    <row r="20" spans="1:9" ht="15" x14ac:dyDescent="0.2">
      <c r="A20" s="24" t="s">
        <v>94</v>
      </c>
      <c r="B20" s="82">
        <v>-2</v>
      </c>
      <c r="C20" s="82">
        <v>-0.8</v>
      </c>
      <c r="D20" s="82">
        <v>-2.1</v>
      </c>
      <c r="E20" s="82">
        <v>-8.5</v>
      </c>
      <c r="F20" s="82">
        <v>-1.3</v>
      </c>
      <c r="G20" s="82">
        <v>-14.6</v>
      </c>
      <c r="H20" s="18"/>
      <c r="I20" s="21">
        <f t="shared" ref="I20:I23" si="1">RATE(5,,-B20,G20)</f>
        <v>0.48821121161993203</v>
      </c>
    </row>
    <row r="21" spans="1:9" ht="15" x14ac:dyDescent="0.2">
      <c r="A21" s="84" t="s">
        <v>154</v>
      </c>
      <c r="B21" s="82">
        <v>0.2</v>
      </c>
      <c r="C21" s="82">
        <v>0.6</v>
      </c>
      <c r="D21" s="82">
        <f>-3.7+4.5</f>
        <v>0.79999999999999982</v>
      </c>
      <c r="E21" s="82">
        <f>-3.7+4.6</f>
        <v>0.89999999999999947</v>
      </c>
      <c r="F21" s="82">
        <f>-3.5+4.4</f>
        <v>0.90000000000000036</v>
      </c>
      <c r="G21" s="82">
        <f>-3.7+4.5</f>
        <v>0.79999999999999982</v>
      </c>
      <c r="H21" s="18">
        <f>-1.9+2.4</f>
        <v>0.5</v>
      </c>
      <c r="I21" s="21">
        <f t="shared" si="1"/>
        <v>0.31950791077290247</v>
      </c>
    </row>
    <row r="22" spans="1:9" ht="15" x14ac:dyDescent="0.2">
      <c r="A22" s="24" t="s">
        <v>96</v>
      </c>
      <c r="B22" s="82">
        <v>-1.2</v>
      </c>
      <c r="C22" s="82">
        <v>-0.2</v>
      </c>
      <c r="D22" s="82">
        <v>0.2</v>
      </c>
      <c r="E22" s="82">
        <v>-0.9</v>
      </c>
      <c r="F22" s="82">
        <v>-2.2000000000000002</v>
      </c>
      <c r="G22" s="82">
        <v>2.4</v>
      </c>
      <c r="H22" s="18"/>
      <c r="I22" s="21"/>
    </row>
    <row r="23" spans="1:9" ht="15" x14ac:dyDescent="0.2">
      <c r="A23" s="24" t="s">
        <v>97</v>
      </c>
      <c r="B23" s="82">
        <v>8.5</v>
      </c>
      <c r="C23" s="82">
        <v>0.8</v>
      </c>
      <c r="D23" s="82">
        <v>-3.4</v>
      </c>
      <c r="E23" s="82">
        <v>0.4</v>
      </c>
      <c r="F23" s="82">
        <v>-7.6</v>
      </c>
      <c r="G23" s="82">
        <v>3</v>
      </c>
      <c r="H23" s="18">
        <v>-5.9</v>
      </c>
      <c r="I23" s="21">
        <f t="shared" si="1"/>
        <v>-0.18802909842848972</v>
      </c>
    </row>
    <row r="24" spans="1:9" ht="15" x14ac:dyDescent="0.2">
      <c r="A24" s="24" t="s">
        <v>98</v>
      </c>
      <c r="B24" s="82"/>
      <c r="C24" s="82"/>
      <c r="D24" s="82"/>
      <c r="E24" s="82"/>
      <c r="F24" s="82"/>
      <c r="G24" s="82"/>
      <c r="H24" s="18"/>
      <c r="I24" s="21"/>
    </row>
    <row r="25" spans="1:9" ht="15" x14ac:dyDescent="0.2">
      <c r="A25" s="84" t="s">
        <v>148</v>
      </c>
      <c r="B25" s="82">
        <v>-0.3</v>
      </c>
      <c r="C25" s="82"/>
      <c r="D25" s="82">
        <v>-3.3</v>
      </c>
      <c r="E25" s="82">
        <v>3.3</v>
      </c>
      <c r="F25" s="82">
        <v>0.1</v>
      </c>
      <c r="G25" s="82">
        <v>-0.1</v>
      </c>
      <c r="H25" s="18"/>
      <c r="I25" s="21">
        <f t="shared" ref="I25" si="2">RATE(5,,-B25,G25)</f>
        <v>-0.19725843823976927</v>
      </c>
    </row>
    <row r="26" spans="1:9" ht="15" x14ac:dyDescent="0.2">
      <c r="A26" s="24" t="s">
        <v>149</v>
      </c>
      <c r="B26" s="82">
        <v>0.6</v>
      </c>
      <c r="C26" s="82">
        <v>1.1000000000000001</v>
      </c>
      <c r="D26" s="82"/>
      <c r="E26" s="82">
        <v>2.9</v>
      </c>
      <c r="F26" s="82">
        <v>-3.6</v>
      </c>
      <c r="G26" s="82">
        <v>-7.7</v>
      </c>
      <c r="H26" s="18"/>
      <c r="I26" s="21"/>
    </row>
    <row r="27" spans="1:9" ht="15" x14ac:dyDescent="0.2">
      <c r="A27" s="24" t="s">
        <v>111</v>
      </c>
      <c r="B27" s="82">
        <v>-1.5</v>
      </c>
      <c r="C27" s="82">
        <v>-37.200000000000003</v>
      </c>
      <c r="D27" s="82"/>
      <c r="E27" s="82"/>
      <c r="F27" s="82"/>
      <c r="G27" s="82"/>
      <c r="H27" s="18"/>
      <c r="I27" s="21"/>
    </row>
    <row r="28" spans="1:9" ht="15" x14ac:dyDescent="0.2">
      <c r="A28" s="84" t="s">
        <v>178</v>
      </c>
      <c r="B28" s="82">
        <v>1</v>
      </c>
      <c r="C28" s="82">
        <v>-5</v>
      </c>
      <c r="D28" s="82">
        <v>-0.9</v>
      </c>
      <c r="E28" s="82">
        <v>2.1</v>
      </c>
      <c r="F28" s="82">
        <v>4.5</v>
      </c>
      <c r="G28" s="82">
        <v>3.3</v>
      </c>
      <c r="H28" s="18"/>
      <c r="I28" s="21">
        <f>RATE(5,,-B28,G28)</f>
        <v>0.26970487769000406</v>
      </c>
    </row>
    <row r="29" spans="1:9" ht="12.75" customHeight="1" x14ac:dyDescent="0.2">
      <c r="A29" s="20"/>
      <c r="B29" s="82"/>
      <c r="C29" s="82"/>
      <c r="D29" s="82"/>
      <c r="E29" s="82"/>
      <c r="F29" s="82"/>
      <c r="G29" s="82"/>
      <c r="H29" s="18"/>
      <c r="I29" s="25"/>
    </row>
    <row r="30" spans="1:9" ht="15" x14ac:dyDescent="0.2">
      <c r="A30" s="20" t="s">
        <v>78</v>
      </c>
      <c r="B30" s="182">
        <f t="shared" ref="B30:D30" si="3">SUM(B11:B29)</f>
        <v>140.29999999999998</v>
      </c>
      <c r="C30" s="182">
        <f t="shared" si="3"/>
        <v>117.09999999999998</v>
      </c>
      <c r="D30" s="182">
        <f t="shared" si="3"/>
        <v>153.6</v>
      </c>
      <c r="E30" s="182">
        <f t="shared" ref="E30:F30" si="4">SUM(E11:E29)</f>
        <v>135.29999999999998</v>
      </c>
      <c r="F30" s="182">
        <f t="shared" si="4"/>
        <v>124</v>
      </c>
      <c r="G30" s="182">
        <f t="shared" ref="G30" si="5">SUM(G11:G29)</f>
        <v>116.3</v>
      </c>
      <c r="H30" s="26">
        <f t="shared" ref="H30" si="6">SUM(H11:H29)</f>
        <v>23.699999999999996</v>
      </c>
      <c r="I30" s="21">
        <f>RATE(5,,-B30,G30)</f>
        <v>-3.6826758373321992E-2</v>
      </c>
    </row>
    <row r="31" spans="1:9" ht="12" customHeight="1" x14ac:dyDescent="0.2">
      <c r="A31" s="20"/>
      <c r="B31" s="82"/>
      <c r="C31" s="82"/>
      <c r="D31" s="82"/>
      <c r="E31" s="82"/>
      <c r="F31" s="82"/>
      <c r="G31" s="82"/>
      <c r="H31" s="18"/>
      <c r="I31" s="21"/>
    </row>
    <row r="32" spans="1:9" ht="15" x14ac:dyDescent="0.2">
      <c r="A32" s="16" t="s">
        <v>79</v>
      </c>
      <c r="B32" s="82"/>
      <c r="C32" s="82"/>
      <c r="D32" s="82"/>
      <c r="E32" s="82"/>
      <c r="F32" s="82"/>
      <c r="G32" s="82"/>
      <c r="H32" s="18"/>
      <c r="I32" s="21"/>
    </row>
    <row r="33" spans="1:9" ht="15" x14ac:dyDescent="0.2">
      <c r="A33" s="20" t="s">
        <v>80</v>
      </c>
      <c r="B33" s="82">
        <v>-121</v>
      </c>
      <c r="C33" s="82">
        <v>-104.5</v>
      </c>
      <c r="D33" s="82">
        <v>-60.6</v>
      </c>
      <c r="E33" s="82">
        <v>-73.400000000000006</v>
      </c>
      <c r="F33" s="82">
        <v>-59.4</v>
      </c>
      <c r="G33" s="82">
        <v>-40.6</v>
      </c>
      <c r="H33" s="18">
        <v>-17.100000000000001</v>
      </c>
      <c r="I33" s="21">
        <f t="shared" ref="I33:I34" si="7">RATE(5,,-B33,G33)</f>
        <v>-0.19619975792014011</v>
      </c>
    </row>
    <row r="34" spans="1:9" ht="15" x14ac:dyDescent="0.2">
      <c r="A34" s="20" t="s">
        <v>81</v>
      </c>
      <c r="B34" s="82">
        <v>-1</v>
      </c>
      <c r="C34" s="82">
        <v>-1.3</v>
      </c>
      <c r="D34" s="82">
        <f>-0.7+4.3</f>
        <v>3.5999999999999996</v>
      </c>
      <c r="E34" s="82">
        <f>-1+0.1</f>
        <v>-0.9</v>
      </c>
      <c r="F34" s="82">
        <f>-1.4+0.2</f>
        <v>-1.2</v>
      </c>
      <c r="G34" s="82">
        <f>-2.3+0.3</f>
        <v>-1.9999999999999998</v>
      </c>
      <c r="H34" s="18">
        <v>-0.3</v>
      </c>
      <c r="I34" s="21">
        <f t="shared" si="7"/>
        <v>0.14869835499702516</v>
      </c>
    </row>
    <row r="35" spans="1:9" ht="15" x14ac:dyDescent="0.2">
      <c r="A35" s="20" t="s">
        <v>155</v>
      </c>
      <c r="B35" s="82"/>
      <c r="C35" s="82"/>
      <c r="D35" s="82"/>
      <c r="E35" s="82"/>
      <c r="F35" s="82"/>
      <c r="G35" s="82"/>
      <c r="H35" s="18"/>
      <c r="I35" s="21"/>
    </row>
    <row r="36" spans="1:9" ht="15" x14ac:dyDescent="0.2">
      <c r="A36" s="20" t="s">
        <v>150</v>
      </c>
      <c r="B36" s="82"/>
      <c r="C36" s="82"/>
      <c r="D36" s="82"/>
      <c r="E36" s="82">
        <v>-10.7</v>
      </c>
      <c r="F36" s="82"/>
      <c r="G36" s="82"/>
      <c r="H36" s="18">
        <v>0.1</v>
      </c>
      <c r="I36" s="21"/>
    </row>
    <row r="37" spans="1:9" ht="12.75" customHeight="1" x14ac:dyDescent="0.2">
      <c r="A37" s="20" t="s">
        <v>82</v>
      </c>
      <c r="B37" s="183"/>
      <c r="C37" s="183"/>
      <c r="D37" s="183"/>
      <c r="E37" s="183"/>
      <c r="F37" s="183"/>
      <c r="G37" s="183">
        <v>0.1</v>
      </c>
      <c r="H37" s="114"/>
      <c r="I37" s="25"/>
    </row>
    <row r="38" spans="1:9" ht="15" x14ac:dyDescent="0.2">
      <c r="A38" s="20" t="s">
        <v>83</v>
      </c>
      <c r="B38" s="180">
        <f t="shared" ref="B38:D38" si="8">SUM(B32:B37)</f>
        <v>-122</v>
      </c>
      <c r="C38" s="180">
        <f t="shared" si="8"/>
        <v>-105.8</v>
      </c>
      <c r="D38" s="180">
        <f t="shared" si="8"/>
        <v>-57</v>
      </c>
      <c r="E38" s="180">
        <f t="shared" ref="E38:H38" si="9">SUM(E32:E37)</f>
        <v>-85.000000000000014</v>
      </c>
      <c r="F38" s="180">
        <f t="shared" si="9"/>
        <v>-60.6</v>
      </c>
      <c r="G38" s="180">
        <f t="shared" ref="G38" si="10">SUM(G32:G37)</f>
        <v>-42.5</v>
      </c>
      <c r="H38" s="17">
        <f t="shared" si="9"/>
        <v>-17.3</v>
      </c>
      <c r="I38" s="21">
        <f>RATE(5,,-B38,G38)</f>
        <v>-0.1901477001125027</v>
      </c>
    </row>
    <row r="39" spans="1:9" ht="13.5" customHeight="1" x14ac:dyDescent="0.2">
      <c r="A39" s="20"/>
      <c r="B39" s="82"/>
      <c r="C39" s="82"/>
      <c r="D39" s="82"/>
      <c r="E39" s="82"/>
      <c r="F39" s="82"/>
      <c r="G39" s="82"/>
      <c r="H39" s="18"/>
      <c r="I39" s="21"/>
    </row>
    <row r="40" spans="1:9" ht="15" x14ac:dyDescent="0.2">
      <c r="A40" s="16" t="s">
        <v>84</v>
      </c>
      <c r="B40" s="82"/>
      <c r="C40" s="82"/>
      <c r="D40" s="82"/>
      <c r="E40" s="82"/>
      <c r="F40" s="82"/>
      <c r="G40" s="82"/>
      <c r="H40" s="18"/>
      <c r="I40" s="21"/>
    </row>
    <row r="41" spans="1:9" ht="15" x14ac:dyDescent="0.2">
      <c r="A41" s="24" t="s">
        <v>103</v>
      </c>
      <c r="B41" s="82"/>
      <c r="C41" s="82"/>
      <c r="D41" s="82"/>
      <c r="E41" s="82"/>
      <c r="F41" s="82"/>
      <c r="G41" s="82"/>
      <c r="H41" s="18"/>
      <c r="I41" s="21"/>
    </row>
    <row r="42" spans="1:9" ht="15" x14ac:dyDescent="0.2">
      <c r="A42" s="24" t="s">
        <v>99</v>
      </c>
      <c r="B42" s="82"/>
      <c r="C42" s="82">
        <v>176.2</v>
      </c>
      <c r="D42" s="82"/>
      <c r="E42" s="82"/>
      <c r="F42" s="82"/>
      <c r="G42" s="82"/>
      <c r="H42" s="18"/>
      <c r="I42" s="21"/>
    </row>
    <row r="43" spans="1:9" ht="15" x14ac:dyDescent="0.2">
      <c r="A43" s="24" t="s">
        <v>100</v>
      </c>
      <c r="B43" s="82"/>
      <c r="C43" s="82">
        <v>-180</v>
      </c>
      <c r="D43" s="82"/>
      <c r="E43" s="82"/>
      <c r="F43" s="82"/>
      <c r="G43" s="82">
        <v>-25.1</v>
      </c>
      <c r="H43" s="18"/>
      <c r="I43" s="21"/>
    </row>
    <row r="44" spans="1:9" ht="15" x14ac:dyDescent="0.2">
      <c r="A44" s="84" t="s">
        <v>152</v>
      </c>
      <c r="B44" s="82">
        <v>12.4</v>
      </c>
      <c r="C44" s="82">
        <v>21.5</v>
      </c>
      <c r="D44" s="82">
        <v>-29.9</v>
      </c>
      <c r="E44" s="82">
        <v>9.3000000000000007</v>
      </c>
      <c r="F44" s="82">
        <v>-10.7</v>
      </c>
      <c r="G44" s="82">
        <v>34.1</v>
      </c>
      <c r="H44" s="18">
        <v>6.1</v>
      </c>
      <c r="I44" s="21">
        <f t="shared" ref="I44" si="11">RATE(5,,-B44,G44)</f>
        <v>0.22423992536425913</v>
      </c>
    </row>
    <row r="45" spans="1:9" ht="15" x14ac:dyDescent="0.2">
      <c r="A45" s="24" t="s">
        <v>101</v>
      </c>
      <c r="B45" s="82">
        <v>-0.2</v>
      </c>
      <c r="C45" s="82"/>
      <c r="D45" s="82"/>
      <c r="E45" s="82"/>
      <c r="F45" s="82"/>
      <c r="G45" s="82"/>
      <c r="H45" s="18"/>
      <c r="I45" s="21"/>
    </row>
    <row r="46" spans="1:9" ht="12.75" customHeight="1" x14ac:dyDescent="0.2">
      <c r="A46" s="20" t="s">
        <v>85</v>
      </c>
      <c r="B46" s="82">
        <v>-29</v>
      </c>
      <c r="C46" s="82">
        <v>-30.9</v>
      </c>
      <c r="D46" s="82">
        <v>-63</v>
      </c>
      <c r="E46" s="82">
        <v>-64</v>
      </c>
      <c r="F46" s="82">
        <v>-48</v>
      </c>
      <c r="G46" s="82">
        <v>-80</v>
      </c>
      <c r="H46" s="18">
        <v>-48</v>
      </c>
      <c r="I46" s="21">
        <f>RATE(5,,-B46,G46)</f>
        <v>0.22500651326977059</v>
      </c>
    </row>
    <row r="47" spans="1:9" ht="12.75" customHeight="1" x14ac:dyDescent="0.2">
      <c r="A47" s="20" t="s">
        <v>151</v>
      </c>
      <c r="B47" s="82"/>
      <c r="C47" s="82"/>
      <c r="D47" s="82"/>
      <c r="E47" s="82"/>
      <c r="F47" s="82"/>
      <c r="G47" s="82"/>
      <c r="H47" s="18"/>
      <c r="I47" s="21"/>
    </row>
    <row r="48" spans="1:9" ht="12.75" customHeight="1" x14ac:dyDescent="0.2">
      <c r="A48" s="20"/>
      <c r="B48" s="82"/>
      <c r="C48" s="82"/>
      <c r="D48" s="82"/>
      <c r="E48" s="82"/>
      <c r="F48" s="82"/>
      <c r="G48" s="82"/>
      <c r="H48" s="18"/>
      <c r="I48" s="25"/>
    </row>
    <row r="49" spans="1:9" ht="12.75" customHeight="1" x14ac:dyDescent="0.2">
      <c r="A49" s="20" t="s">
        <v>184</v>
      </c>
      <c r="B49" s="184">
        <f t="shared" ref="B49:C49" si="12">SUM(B40:B48)</f>
        <v>-16.799999999999997</v>
      </c>
      <c r="C49" s="184">
        <f t="shared" si="12"/>
        <v>-13.20000000000001</v>
      </c>
      <c r="D49" s="184">
        <f t="shared" ref="D49" si="13">SUM(D40:D48)</f>
        <v>-92.9</v>
      </c>
      <c r="E49" s="184">
        <f t="shared" ref="E49:F49" si="14">SUM(E40:E48)</f>
        <v>-54.7</v>
      </c>
      <c r="F49" s="184">
        <f t="shared" si="14"/>
        <v>-58.7</v>
      </c>
      <c r="G49" s="184">
        <f t="shared" ref="G49" si="15">SUM(G40:G48)</f>
        <v>-71</v>
      </c>
      <c r="H49" s="27">
        <f t="shared" ref="H49" si="16">SUM(H40:H48)</f>
        <v>-41.9</v>
      </c>
      <c r="I49" s="21">
        <f>RATE(5,,-B49,G49)</f>
        <v>0.33410439042871493</v>
      </c>
    </row>
    <row r="50" spans="1:9" ht="12.75" customHeight="1" x14ac:dyDescent="0.2">
      <c r="A50" s="20"/>
      <c r="B50" s="82"/>
      <c r="C50" s="82"/>
      <c r="D50" s="82"/>
      <c r="E50" s="82"/>
      <c r="F50" s="82"/>
      <c r="G50" s="82"/>
      <c r="H50" s="18"/>
      <c r="I50" s="25"/>
    </row>
    <row r="51" spans="1:9" ht="12.75" customHeight="1" x14ac:dyDescent="0.2">
      <c r="A51" s="20" t="s">
        <v>86</v>
      </c>
      <c r="B51" s="83">
        <f>B30+B38+B49</f>
        <v>1.4999999999999858</v>
      </c>
      <c r="C51" s="83">
        <f>C30+C38+C49</f>
        <v>-1.900000000000027</v>
      </c>
      <c r="D51" s="83">
        <f t="shared" ref="D51:E51" si="17">D30+D38+D49</f>
        <v>3.6999999999999886</v>
      </c>
      <c r="E51" s="83">
        <f t="shared" si="17"/>
        <v>-4.4000000000000341</v>
      </c>
      <c r="F51" s="83">
        <f t="shared" ref="F51:H51" si="18">F30+F38+F49</f>
        <v>4.6999999999999957</v>
      </c>
      <c r="G51" s="83">
        <f t="shared" ref="G51" si="19">G30+G38+G49</f>
        <v>2.7999999999999972</v>
      </c>
      <c r="H51" s="28">
        <f t="shared" si="18"/>
        <v>-35.5</v>
      </c>
      <c r="I51" s="21">
        <f>RATE(5,,-B51,G51)</f>
        <v>0.13295681060117259</v>
      </c>
    </row>
    <row r="52" spans="1:9" ht="12" customHeight="1" x14ac:dyDescent="0.2">
      <c r="A52" s="20"/>
      <c r="B52" s="82"/>
      <c r="C52" s="82"/>
      <c r="D52" s="82"/>
      <c r="E52" s="82"/>
      <c r="F52" s="82"/>
      <c r="G52" s="82"/>
      <c r="H52" s="18"/>
      <c r="I52" s="25"/>
    </row>
    <row r="53" spans="1:9" ht="12.75" customHeight="1" x14ac:dyDescent="0.2">
      <c r="A53" s="20" t="s">
        <v>185</v>
      </c>
      <c r="B53" s="185">
        <v>3.8</v>
      </c>
      <c r="C53" s="185">
        <f t="shared" ref="C53" si="20">B55</f>
        <v>5.2999999999999856</v>
      </c>
      <c r="D53" s="185">
        <f>C55</f>
        <v>3.3999999999999586</v>
      </c>
      <c r="E53" s="185">
        <f>D55</f>
        <v>7.0999999999999472</v>
      </c>
      <c r="F53" s="185">
        <f>E55</f>
        <v>2.6999999999999131</v>
      </c>
      <c r="G53" s="185">
        <f>F55</f>
        <v>7.3999999999999089</v>
      </c>
      <c r="H53" s="115">
        <f>G55</f>
        <v>10.199999999999907</v>
      </c>
      <c r="I53" s="21">
        <f>RATE(5,,-B53,G53)</f>
        <v>0.14258791065591636</v>
      </c>
    </row>
    <row r="54" spans="1:9" ht="12" customHeight="1" x14ac:dyDescent="0.2">
      <c r="A54" s="20"/>
      <c r="B54" s="186"/>
      <c r="C54" s="186"/>
      <c r="D54" s="186"/>
      <c r="E54" s="186"/>
      <c r="F54" s="186"/>
      <c r="G54" s="186"/>
      <c r="H54" s="116"/>
      <c r="I54" s="25"/>
    </row>
    <row r="55" spans="1:9" ht="12.75" customHeight="1" thickBot="1" x14ac:dyDescent="0.25">
      <c r="A55" s="20" t="s">
        <v>186</v>
      </c>
      <c r="B55" s="185">
        <f t="shared" ref="B55:C55" si="21">B51+B53</f>
        <v>5.2999999999999856</v>
      </c>
      <c r="C55" s="185">
        <f t="shared" si="21"/>
        <v>3.3999999999999586</v>
      </c>
      <c r="D55" s="185">
        <f t="shared" ref="D55" si="22">D51+D53</f>
        <v>7.0999999999999472</v>
      </c>
      <c r="E55" s="185">
        <f t="shared" ref="E55:F55" si="23">E51+E53</f>
        <v>2.6999999999999131</v>
      </c>
      <c r="F55" s="185">
        <f t="shared" si="23"/>
        <v>7.3999999999999089</v>
      </c>
      <c r="G55" s="185">
        <f t="shared" ref="G55" si="24">G51+G53</f>
        <v>10.199999999999907</v>
      </c>
      <c r="H55" s="115">
        <f t="shared" ref="H55" si="25">H51+H53</f>
        <v>-25.300000000000093</v>
      </c>
      <c r="I55" s="21">
        <f>RATE(5,,-B55,G55)</f>
        <v>0.13989503082861082</v>
      </c>
    </row>
    <row r="56" spans="1:9" ht="12.75" customHeight="1" thickTop="1" x14ac:dyDescent="0.2">
      <c r="A56" s="29"/>
      <c r="B56" s="108"/>
      <c r="C56" s="108"/>
      <c r="D56" s="117"/>
      <c r="E56" s="117"/>
      <c r="F56" s="117"/>
      <c r="G56" s="117"/>
      <c r="H56" s="117"/>
      <c r="I56" s="30"/>
    </row>
  </sheetData>
  <mergeCells count="3">
    <mergeCell ref="A3:I3"/>
    <mergeCell ref="A4:I4"/>
    <mergeCell ref="A5:I5"/>
  </mergeCells>
  <phoneticPr fontId="0" type="noConversion"/>
  <printOptions horizontalCentered="1"/>
  <pageMargins left="0.75" right="0.75" top="1" bottom="1" header="0.5" footer="0.5"/>
  <pageSetup scale="6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2016-07-07T15:50:27Z</cp:lastPrinted>
  <dcterms:created xsi:type="dcterms:W3CDTF">2005-09-19T14:11:29Z</dcterms:created>
  <dcterms:modified xsi:type="dcterms:W3CDTF">2016-07-07T22:09:02Z</dcterms:modified>
</cp:coreProperties>
</file>